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4_{6D97D2C4-ABE0-42AD-93FE-74F7B69A8FE0}" xr6:coauthVersionLast="47" xr6:coauthVersionMax="47" xr10:uidLastSave="{00000000-0000-0000-0000-000000000000}"/>
  <bookViews>
    <workbookView xWindow="-28920" yWindow="-120" windowWidth="29040" windowHeight="15720" tabRatio="877" activeTab="1" xr2:uid="{00000000-000D-0000-FFFF-FFFF00000000}"/>
  </bookViews>
  <sheets>
    <sheet name="Table of Contents" sheetId="58" r:id="rId1"/>
    <sheet name="1" sheetId="19" r:id="rId2"/>
    <sheet name="2" sheetId="59" r:id="rId3"/>
    <sheet name="3" sheetId="30" r:id="rId4"/>
    <sheet name="4" sheetId="31" r:id="rId5"/>
    <sheet name="5" sheetId="43" r:id="rId6"/>
    <sheet name="6" sheetId="22" r:id="rId7"/>
    <sheet name="7" sheetId="60" r:id="rId8"/>
    <sheet name="8" sheetId="8" r:id="rId9"/>
    <sheet name="9" sheetId="7" r:id="rId10"/>
    <sheet name="10" sheetId="52" r:id="rId11"/>
    <sheet name="11" sheetId="51" r:id="rId12"/>
    <sheet name="12" sheetId="53" r:id="rId13"/>
    <sheet name="13" sheetId="16" r:id="rId14"/>
  </sheets>
  <definedNames>
    <definedName name="_xlnm.Print_Area" localSheetId="1">'1'!$A$8:$AJ$66</definedName>
    <definedName name="_xlnm.Print_Area" localSheetId="10">'10'!$A$12:$Q$55</definedName>
    <definedName name="_xlnm.Print_Area" localSheetId="11">'11'!$A$12:$Q$51</definedName>
    <definedName name="_xlnm.Print_Area" localSheetId="12">'12'!$A$12:$Q$50</definedName>
    <definedName name="_xlnm.Print_Area" localSheetId="2">'2'!$A$8:$AA$9</definedName>
    <definedName name="_xlnm.Print_Area" localSheetId="3">'3'!$A$8:$AH$49</definedName>
    <definedName name="_xlnm.Print_Area" localSheetId="4">'4'!$A$8:$X$63</definedName>
    <definedName name="_xlnm.Print_Area" localSheetId="5">'5'!$A$8:$V$244</definedName>
    <definedName name="_xlnm.Print_Area" localSheetId="6">'6'!$A$1:$AE$58</definedName>
    <definedName name="_xlnm.Print_Area" localSheetId="7">'7'!$A$8:$W$9</definedName>
    <definedName name="_xlnm.Print_Area" localSheetId="8">'8'!$A$8:$AV$41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8" i="19" l="1"/>
  <c r="C93" i="59"/>
  <c r="B93" i="59"/>
  <c r="C81" i="59"/>
  <c r="B81" i="59"/>
  <c r="B56" i="59"/>
  <c r="C69" i="59"/>
  <c r="B69" i="59"/>
  <c r="C56" i="59"/>
  <c r="B20" i="60"/>
  <c r="K19" i="43" l="1"/>
  <c r="K27" i="43" s="1"/>
  <c r="C27" i="43"/>
  <c r="D27" i="43"/>
  <c r="E27" i="43"/>
  <c r="F27" i="43"/>
  <c r="G27" i="43"/>
  <c r="H27" i="43"/>
  <c r="I27" i="43"/>
  <c r="B27" i="43"/>
  <c r="C26" i="43"/>
  <c r="D26" i="43"/>
  <c r="E26" i="43"/>
  <c r="F26" i="43"/>
  <c r="G26" i="43"/>
  <c r="H26" i="43"/>
  <c r="I26" i="43"/>
  <c r="B26" i="43"/>
  <c r="C55" i="31"/>
  <c r="C51" i="31"/>
  <c r="C50" i="31" s="1"/>
  <c r="C25" i="30"/>
  <c r="C22" i="30"/>
  <c r="K26" i="43" l="1"/>
  <c r="C78" i="19" l="1"/>
  <c r="C77" i="19"/>
  <c r="H71" i="19" l="1"/>
  <c r="F29" i="19" l="1"/>
  <c r="W25" i="30" l="1"/>
  <c r="E64" i="16"/>
  <c r="E63" i="16"/>
  <c r="E62" i="16"/>
  <c r="E61" i="16"/>
  <c r="E60" i="16"/>
  <c r="E59" i="16"/>
  <c r="E58" i="16"/>
  <c r="E57" i="16"/>
  <c r="E56" i="16"/>
  <c r="E55" i="16"/>
  <c r="E54" i="16"/>
  <c r="E52" i="16"/>
  <c r="E51" i="16"/>
  <c r="E50" i="16"/>
  <c r="E49" i="16"/>
  <c r="E48" i="16"/>
  <c r="E42" i="16"/>
  <c r="E41" i="16"/>
  <c r="E40" i="16"/>
  <c r="E39" i="16"/>
  <c r="C42" i="16"/>
  <c r="E33" i="16"/>
  <c r="E32" i="16"/>
  <c r="E31" i="16"/>
  <c r="E30" i="16"/>
  <c r="C33" i="16"/>
  <c r="E24" i="16"/>
  <c r="E23" i="16"/>
  <c r="E21" i="16"/>
  <c r="E20" i="16"/>
  <c r="E19" i="16"/>
  <c r="E18" i="16"/>
  <c r="E17" i="16"/>
  <c r="E16" i="16"/>
  <c r="E15" i="16"/>
  <c r="K44" i="43"/>
  <c r="D45" i="43"/>
  <c r="D44" i="43" s="1"/>
  <c r="F45" i="43"/>
  <c r="F44" i="43" s="1"/>
  <c r="H45" i="43"/>
  <c r="H44" i="43" s="1"/>
  <c r="G44" i="43"/>
  <c r="I44" i="43"/>
  <c r="B51" i="31"/>
  <c r="B50" i="31" s="1"/>
  <c r="B22" i="30"/>
  <c r="B25" i="59"/>
  <c r="B37" i="19"/>
  <c r="M37" i="19"/>
  <c r="K55" i="43"/>
  <c r="K63" i="43"/>
  <c r="K62" i="43" s="1"/>
  <c r="H44" i="31"/>
  <c r="H51" i="31"/>
  <c r="H50" i="31" s="1"/>
  <c r="F44" i="31"/>
  <c r="E44" i="31"/>
  <c r="H22" i="30"/>
  <c r="H25" i="30" s="1"/>
  <c r="AI99" i="19"/>
  <c r="AI98" i="19"/>
  <c r="AI93" i="19"/>
  <c r="AI94" i="19"/>
  <c r="AI92" i="19"/>
  <c r="AI91" i="19"/>
  <c r="AI90" i="19"/>
  <c r="AI89" i="19"/>
  <c r="AI88" i="19"/>
  <c r="AI87" i="19"/>
  <c r="AI95" i="19"/>
  <c r="AI97" i="19"/>
  <c r="AI96" i="19"/>
  <c r="AI86" i="19"/>
  <c r="AI85" i="19"/>
  <c r="I65" i="19"/>
  <c r="I66" i="19"/>
  <c r="I67" i="19"/>
  <c r="I68" i="19"/>
  <c r="I69" i="19"/>
  <c r="I70" i="19"/>
  <c r="I71" i="19"/>
  <c r="I72" i="19"/>
  <c r="I73" i="19"/>
  <c r="I74" i="19"/>
  <c r="I75" i="19"/>
  <c r="I64" i="19"/>
  <c r="C37" i="19" l="1"/>
  <c r="I56" i="19"/>
  <c r="I57" i="19"/>
  <c r="I58" i="19"/>
  <c r="I54" i="19"/>
  <c r="H59" i="19"/>
  <c r="I59" i="19" s="1"/>
  <c r="I39" i="59"/>
  <c r="I38" i="59"/>
  <c r="I37" i="59"/>
  <c r="I31" i="59"/>
  <c r="I30" i="59"/>
  <c r="H32" i="59"/>
  <c r="I32" i="59" s="1"/>
  <c r="I44" i="19"/>
  <c r="I45" i="19"/>
  <c r="I47" i="19"/>
  <c r="I48" i="19"/>
  <c r="I43" i="19"/>
  <c r="I37" i="19" l="1"/>
  <c r="F28" i="19"/>
  <c r="AF37" i="19" l="1"/>
  <c r="I15" i="16"/>
  <c r="E36" i="60"/>
  <c r="I81" i="43"/>
  <c r="H82" i="43"/>
  <c r="H81" i="43" s="1"/>
  <c r="K81" i="43"/>
  <c r="G81" i="43"/>
  <c r="F81" i="43"/>
  <c r="E81" i="43"/>
  <c r="D81" i="43"/>
  <c r="C81" i="43"/>
  <c r="B81" i="43"/>
  <c r="B117" i="43"/>
  <c r="G51" i="31"/>
  <c r="G50" i="31" s="1"/>
  <c r="AR99" i="19"/>
  <c r="AP99" i="19"/>
  <c r="AP98" i="19"/>
  <c r="AT99" i="19"/>
  <c r="AS99" i="19"/>
  <c r="AQ99" i="19"/>
  <c r="AO99" i="19"/>
  <c r="AN99" i="19"/>
  <c r="AM99" i="19"/>
  <c r="AT98" i="19"/>
  <c r="AS98" i="19"/>
  <c r="AR98" i="19"/>
  <c r="AQ98" i="19"/>
  <c r="AO98" i="19"/>
  <c r="AN98" i="19"/>
  <c r="AM98" i="19"/>
  <c r="AU97" i="19"/>
  <c r="AU96" i="19"/>
  <c r="AU95" i="19"/>
  <c r="AU94" i="19"/>
  <c r="AU93" i="19"/>
  <c r="AU92" i="19"/>
  <c r="AU91" i="19"/>
  <c r="AU90" i="19"/>
  <c r="AU89" i="19"/>
  <c r="AU88" i="19"/>
  <c r="AU87" i="19"/>
  <c r="AU85" i="19"/>
  <c r="F14" i="19"/>
  <c r="F15" i="19"/>
  <c r="F16" i="19"/>
  <c r="F17" i="19"/>
  <c r="F18" i="19"/>
  <c r="F19" i="19"/>
  <c r="F20" i="19"/>
  <c r="F21" i="19"/>
  <c r="F22" i="19"/>
  <c r="F23" i="19"/>
  <c r="F24" i="19"/>
  <c r="F25" i="19"/>
  <c r="F51" i="31"/>
  <c r="F50" i="31" s="1"/>
  <c r="G36" i="60"/>
  <c r="F36" i="60"/>
  <c r="K99" i="43"/>
  <c r="B99" i="43"/>
  <c r="F99" i="43"/>
  <c r="D99" i="43"/>
  <c r="C100" i="43"/>
  <c r="C99" i="43" s="1"/>
  <c r="I99" i="43"/>
  <c r="H99" i="43"/>
  <c r="G99" i="43"/>
  <c r="E99" i="43"/>
  <c r="BF99" i="19"/>
  <c r="BE99" i="19"/>
  <c r="BC99" i="19"/>
  <c r="BA99" i="19"/>
  <c r="AZ99" i="19"/>
  <c r="AY99" i="19"/>
  <c r="BF98" i="19"/>
  <c r="BE98" i="19"/>
  <c r="BD98" i="19"/>
  <c r="BC98" i="19"/>
  <c r="BA98" i="19"/>
  <c r="AZ98" i="19"/>
  <c r="AY98" i="19"/>
  <c r="BG97" i="19"/>
  <c r="BG96" i="19"/>
  <c r="BG95" i="19"/>
  <c r="BG94" i="19"/>
  <c r="BG93" i="19"/>
  <c r="BG92" i="19"/>
  <c r="BG91" i="19"/>
  <c r="BG90" i="19"/>
  <c r="BG89" i="19"/>
  <c r="BG88" i="19"/>
  <c r="BG87" i="19"/>
  <c r="BG85" i="19"/>
  <c r="F76" i="19"/>
  <c r="F78" i="19" l="1"/>
  <c r="I78" i="19" s="1"/>
  <c r="I76" i="19"/>
  <c r="AU99" i="19"/>
  <c r="F77" i="19"/>
  <c r="I77" i="19" s="1"/>
  <c r="BG99" i="19"/>
  <c r="F79" i="19"/>
  <c r="I79" i="19" s="1"/>
  <c r="F49" i="19"/>
  <c r="I49" i="19" s="1"/>
  <c r="I24" i="16"/>
  <c r="I52" i="16"/>
  <c r="I63" i="16"/>
  <c r="I62" i="16"/>
  <c r="I61" i="16"/>
  <c r="I60" i="16"/>
  <c r="I59" i="16"/>
  <c r="I58" i="16"/>
  <c r="I57" i="16"/>
  <c r="I56" i="16"/>
  <c r="I55" i="16"/>
  <c r="I54" i="16"/>
  <c r="I51" i="16"/>
  <c r="I50" i="16"/>
  <c r="I49" i="16"/>
  <c r="I48" i="16"/>
  <c r="H41" i="16"/>
  <c r="I41" i="16" s="1"/>
  <c r="H40" i="16"/>
  <c r="I40" i="16" s="1"/>
  <c r="H39" i="16"/>
  <c r="H32" i="16"/>
  <c r="I32" i="16" s="1"/>
  <c r="H31" i="16"/>
  <c r="I31" i="16" s="1"/>
  <c r="H30" i="16"/>
  <c r="H23" i="16"/>
  <c r="I23" i="16" s="1"/>
  <c r="H21" i="16"/>
  <c r="I21" i="16" s="1"/>
  <c r="H20" i="16"/>
  <c r="I20" i="16" s="1"/>
  <c r="H19" i="16"/>
  <c r="I19" i="16" s="1"/>
  <c r="H18" i="16"/>
  <c r="I18" i="16" s="1"/>
  <c r="H17" i="16"/>
  <c r="I17" i="16" s="1"/>
  <c r="H16" i="16"/>
  <c r="I16" i="16" s="1"/>
  <c r="E117" i="43"/>
  <c r="F117" i="43"/>
  <c r="G117" i="43"/>
  <c r="H117" i="43"/>
  <c r="I117" i="43"/>
  <c r="C117" i="43"/>
  <c r="D117" i="43"/>
  <c r="K116" i="43"/>
  <c r="K113" i="43"/>
  <c r="K111" i="43"/>
  <c r="K110" i="43"/>
  <c r="K108" i="43"/>
  <c r="K105" i="43"/>
  <c r="K104" i="43"/>
  <c r="K103" i="43"/>
  <c r="E51" i="31"/>
  <c r="E50" i="31" s="1"/>
  <c r="H42" i="16" l="1"/>
  <c r="H33" i="16"/>
  <c r="I39" i="16"/>
  <c r="I30" i="16"/>
  <c r="K117" i="43"/>
  <c r="BS96" i="19"/>
  <c r="BR99" i="19" l="1"/>
  <c r="BR98" i="19" s="1"/>
  <c r="BQ99" i="19"/>
  <c r="BP99" i="19"/>
  <c r="BP98" i="19" s="1"/>
  <c r="BN99" i="19"/>
  <c r="BN98" i="19" s="1"/>
  <c r="BM99" i="19"/>
  <c r="BM98" i="19" s="1"/>
  <c r="BL99" i="19"/>
  <c r="BL98" i="19" s="1"/>
  <c r="BK99" i="19"/>
  <c r="BK98" i="19" s="1"/>
  <c r="BS97" i="19"/>
  <c r="BS95" i="19"/>
  <c r="BS94" i="19"/>
  <c r="BS93" i="19"/>
  <c r="BS92" i="19"/>
  <c r="BS88" i="19"/>
  <c r="M49" i="19"/>
  <c r="N49" i="19"/>
  <c r="K122" i="43"/>
  <c r="K123" i="43"/>
  <c r="K124" i="43"/>
  <c r="K125" i="43"/>
  <c r="K126" i="43"/>
  <c r="K127" i="43"/>
  <c r="K128" i="43"/>
  <c r="K129" i="43"/>
  <c r="K130" i="43"/>
  <c r="K131" i="43"/>
  <c r="K132" i="43"/>
  <c r="K133" i="43"/>
  <c r="K134" i="43"/>
  <c r="K121" i="43"/>
  <c r="I136" i="43"/>
  <c r="I135" i="43" s="1"/>
  <c r="G136" i="43"/>
  <c r="G135" i="43" s="1"/>
  <c r="F136" i="43"/>
  <c r="F135" i="43" s="1"/>
  <c r="E136" i="43"/>
  <c r="E135" i="43" s="1"/>
  <c r="D136" i="43"/>
  <c r="D135" i="43" s="1"/>
  <c r="C136" i="43"/>
  <c r="M50" i="31"/>
  <c r="M44" i="31"/>
  <c r="M51" i="31" s="1"/>
  <c r="M47" i="30"/>
  <c r="R22" i="30"/>
  <c r="R25" i="30" s="1"/>
  <c r="P25" i="30"/>
  <c r="Q25" i="30"/>
  <c r="M22" i="30"/>
  <c r="K20" i="30"/>
  <c r="O38" i="59"/>
  <c r="O37" i="59"/>
  <c r="CD99" i="19"/>
  <c r="CD98" i="19" s="1"/>
  <c r="CC99" i="19"/>
  <c r="CC98" i="19" s="1"/>
  <c r="CB99" i="19"/>
  <c r="CB98" i="19" s="1"/>
  <c r="BZ99" i="19"/>
  <c r="BZ98" i="19" s="1"/>
  <c r="BY99" i="19"/>
  <c r="BY98" i="19" s="1"/>
  <c r="BX99" i="19"/>
  <c r="BX98" i="19" s="1"/>
  <c r="BW99" i="19"/>
  <c r="BW98" i="19" s="1"/>
  <c r="CE97" i="19"/>
  <c r="CE96" i="19"/>
  <c r="CE95" i="19"/>
  <c r="CE94" i="19"/>
  <c r="CE93" i="19"/>
  <c r="CE92" i="19"/>
  <c r="CE91" i="19"/>
  <c r="CE90" i="19"/>
  <c r="CE89" i="19"/>
  <c r="CE88" i="19"/>
  <c r="CE87" i="19"/>
  <c r="CE86" i="19"/>
  <c r="CP99" i="19"/>
  <c r="CP98" i="19" s="1"/>
  <c r="CO99" i="19"/>
  <c r="CO98" i="19" s="1"/>
  <c r="CN99" i="19"/>
  <c r="CN98" i="19" s="1"/>
  <c r="CM99" i="19"/>
  <c r="CM98" i="19" s="1"/>
  <c r="CL99" i="19"/>
  <c r="CL98" i="19" s="1"/>
  <c r="CK99" i="19"/>
  <c r="CK98" i="19" s="1"/>
  <c r="CJ99" i="19"/>
  <c r="CJ98" i="19" s="1"/>
  <c r="CI99" i="19"/>
  <c r="CI98" i="19" s="1"/>
  <c r="CH99" i="19"/>
  <c r="CH98" i="19" s="1"/>
  <c r="CQ97" i="19"/>
  <c r="CQ96" i="19"/>
  <c r="CQ95" i="19"/>
  <c r="CQ94" i="19"/>
  <c r="CQ93" i="19"/>
  <c r="CQ92" i="19"/>
  <c r="CQ91" i="19"/>
  <c r="CQ90" i="19"/>
  <c r="CQ89" i="19"/>
  <c r="CQ88" i="19"/>
  <c r="CQ87" i="19"/>
  <c r="CQ86" i="19"/>
  <c r="CQ85" i="19"/>
  <c r="N78" i="19"/>
  <c r="N77" i="19" s="1"/>
  <c r="N79" i="19"/>
  <c r="O59" i="19"/>
  <c r="O65" i="19"/>
  <c r="O66" i="19"/>
  <c r="O67" i="19"/>
  <c r="O68" i="19"/>
  <c r="O69" i="19"/>
  <c r="O70" i="19"/>
  <c r="O72" i="19"/>
  <c r="O73" i="19"/>
  <c r="O74" i="19"/>
  <c r="O75" i="19"/>
  <c r="O76" i="19"/>
  <c r="O64" i="19"/>
  <c r="O55" i="19"/>
  <c r="O54" i="19"/>
  <c r="O44" i="19"/>
  <c r="O45" i="19"/>
  <c r="O46" i="19"/>
  <c r="O47" i="19"/>
  <c r="O48" i="19"/>
  <c r="O31" i="59"/>
  <c r="O30" i="59"/>
  <c r="N32" i="59"/>
  <c r="BS99" i="19" l="1"/>
  <c r="BQ98" i="19"/>
  <c r="BS98" i="19" s="1"/>
  <c r="CQ99" i="19"/>
  <c r="K135" i="43"/>
  <c r="CE99" i="19"/>
  <c r="CE98" i="19"/>
  <c r="CQ98" i="19"/>
  <c r="N37" i="19"/>
  <c r="K153" i="43" l="1"/>
  <c r="I64" i="16" l="1"/>
  <c r="G33" i="16"/>
  <c r="I33" i="16" s="1"/>
  <c r="G42" i="16" l="1"/>
  <c r="I42" i="16" s="1"/>
  <c r="C154" i="43" l="1"/>
  <c r="C153" i="43" s="1"/>
  <c r="D154" i="43"/>
  <c r="D153" i="43" s="1"/>
  <c r="E154" i="43"/>
  <c r="E153" i="43" s="1"/>
  <c r="F154" i="43"/>
  <c r="F153" i="43" s="1"/>
  <c r="G154" i="43"/>
  <c r="G153" i="43" s="1"/>
  <c r="H154" i="43"/>
  <c r="H153" i="43" s="1"/>
  <c r="I154" i="43"/>
  <c r="I153" i="43" s="1"/>
  <c r="B154" i="43"/>
  <c r="L51" i="31"/>
  <c r="L50" i="31" s="1"/>
  <c r="L47" i="30"/>
  <c r="B153" i="43" l="1"/>
  <c r="K154" i="43"/>
  <c r="M39" i="59"/>
  <c r="M32" i="59"/>
  <c r="M78" i="19" l="1"/>
  <c r="CE85" i="19"/>
  <c r="M77" i="19" l="1"/>
  <c r="M79" i="19" l="1"/>
  <c r="R50" i="31" l="1"/>
  <c r="B172" i="43" l="1"/>
  <c r="H170" i="43"/>
  <c r="K170" i="43" s="1"/>
  <c r="H158" i="43"/>
  <c r="H172" i="43" s="1"/>
  <c r="H171" i="43" s="1"/>
  <c r="K38" i="31"/>
  <c r="K22" i="30"/>
  <c r="K32" i="30"/>
  <c r="K47" i="30" s="1"/>
  <c r="K158" i="43" l="1"/>
  <c r="K171" i="43" s="1"/>
  <c r="B171" i="43"/>
  <c r="K51" i="31"/>
  <c r="I172" i="43"/>
  <c r="I171" i="43" s="1"/>
  <c r="G172" i="43"/>
  <c r="G171" i="43" s="1"/>
  <c r="F172" i="43"/>
  <c r="F171" i="43" s="1"/>
  <c r="E172" i="43"/>
  <c r="E171" i="43" s="1"/>
  <c r="D172" i="43"/>
  <c r="D171" i="43" s="1"/>
  <c r="C172" i="43"/>
  <c r="J51" i="31"/>
  <c r="K172" i="43" l="1"/>
  <c r="C171" i="43"/>
  <c r="K50" i="31"/>
  <c r="L39" i="59" l="1"/>
  <c r="O39" i="59" s="1"/>
  <c r="L32" i="59"/>
  <c r="L71" i="19" l="1"/>
  <c r="O71" i="19" s="1"/>
  <c r="L78" i="19" l="1"/>
  <c r="L77" i="19" l="1"/>
  <c r="L79" i="19"/>
  <c r="Q59" i="19"/>
  <c r="L49" i="19" l="1"/>
  <c r="L37" i="19"/>
  <c r="K189" i="43" l="1"/>
  <c r="M33" i="31"/>
  <c r="N33" i="31"/>
  <c r="O33" i="31"/>
  <c r="L33" i="31"/>
  <c r="H33" i="31"/>
  <c r="I33" i="31"/>
  <c r="J33" i="31"/>
  <c r="G33" i="31"/>
  <c r="D190" i="43" l="1"/>
  <c r="O32" i="59" l="1"/>
  <c r="K41" i="16" l="1"/>
  <c r="K40" i="16"/>
  <c r="K39" i="16"/>
  <c r="K23" i="16"/>
  <c r="K21" i="16"/>
  <c r="K20" i="16"/>
  <c r="K19" i="16"/>
  <c r="K18" i="16"/>
  <c r="K17" i="16"/>
  <c r="K16" i="16"/>
  <c r="K32" i="16"/>
  <c r="K31" i="16"/>
  <c r="K30" i="16"/>
  <c r="M63" i="16"/>
  <c r="M62" i="16"/>
  <c r="M61" i="16"/>
  <c r="M60" i="16"/>
  <c r="M59" i="16"/>
  <c r="M58" i="16"/>
  <c r="M57" i="16"/>
  <c r="M56" i="16"/>
  <c r="M55" i="16"/>
  <c r="M54" i="16"/>
  <c r="M53" i="16"/>
  <c r="M52" i="16"/>
  <c r="M51" i="16"/>
  <c r="M50" i="16"/>
  <c r="M49" i="16"/>
  <c r="M48" i="16"/>
  <c r="K64" i="16"/>
  <c r="K24" i="16" l="1"/>
  <c r="K42" i="16"/>
  <c r="K33" i="16"/>
  <c r="D189" i="43" l="1"/>
  <c r="C190" i="43"/>
  <c r="C189" i="43" s="1"/>
  <c r="E190" i="43"/>
  <c r="E189" i="43" s="1"/>
  <c r="F190" i="43"/>
  <c r="F189" i="43" s="1"/>
  <c r="G190" i="43"/>
  <c r="G189" i="43" s="1"/>
  <c r="H190" i="43"/>
  <c r="H189" i="43" s="1"/>
  <c r="I190" i="43"/>
  <c r="I189" i="43" s="1"/>
  <c r="B190" i="43"/>
  <c r="P50" i="31"/>
  <c r="J47" i="30"/>
  <c r="J50" i="31" l="1"/>
  <c r="K190" i="43"/>
  <c r="B189" i="43"/>
  <c r="K78" i="19" l="1"/>
  <c r="K77" i="19" l="1"/>
  <c r="O77" i="19" s="1"/>
  <c r="O78" i="19"/>
  <c r="K37" i="19"/>
  <c r="K49" i="19"/>
  <c r="O49" i="19" s="1"/>
  <c r="B27" i="19" l="1"/>
  <c r="O37" i="19"/>
  <c r="K79" i="19"/>
  <c r="O79" i="19" s="1"/>
  <c r="J225" i="43"/>
  <c r="F27" i="19" l="1"/>
  <c r="Q39" i="59"/>
  <c r="U38" i="59"/>
  <c r="S37" i="59"/>
  <c r="T37" i="59" s="1"/>
  <c r="U37" i="59" l="1"/>
  <c r="T31" i="59" l="1"/>
  <c r="U31" i="59" s="1"/>
  <c r="T30" i="59"/>
  <c r="U30" i="59" s="1"/>
  <c r="T32" i="59" l="1"/>
  <c r="T71" i="19" l="1"/>
  <c r="T78" i="19" s="1"/>
  <c r="T77" i="19" s="1"/>
  <c r="U65" i="19"/>
  <c r="U66" i="19"/>
  <c r="U67" i="19"/>
  <c r="U68" i="19"/>
  <c r="U69" i="19"/>
  <c r="U70" i="19"/>
  <c r="U72" i="19"/>
  <c r="U73" i="19"/>
  <c r="U74" i="19"/>
  <c r="U75" i="19"/>
  <c r="U76" i="19"/>
  <c r="U64" i="19"/>
  <c r="T59" i="19" l="1"/>
  <c r="T79" i="19" s="1"/>
  <c r="U55" i="19" l="1"/>
  <c r="U56" i="19"/>
  <c r="U57" i="19"/>
  <c r="U58" i="19"/>
  <c r="U54" i="19"/>
  <c r="U35" i="19" l="1"/>
  <c r="T36" i="19"/>
  <c r="U36" i="19" s="1"/>
  <c r="T37" i="19" l="1"/>
  <c r="E26" i="19" l="1"/>
  <c r="U44" i="19"/>
  <c r="U45" i="19"/>
  <c r="U46" i="19"/>
  <c r="U47" i="19"/>
  <c r="U48" i="19"/>
  <c r="U43" i="19"/>
  <c r="T49" i="19"/>
  <c r="L41" i="16" l="1"/>
  <c r="M41" i="16" s="1"/>
  <c r="L40" i="16"/>
  <c r="L39" i="16"/>
  <c r="M39" i="16" s="1"/>
  <c r="Z35" i="19"/>
  <c r="AA35" i="19" s="1"/>
  <c r="Z37" i="19"/>
  <c r="AA37" i="19" s="1"/>
  <c r="L42" i="16" l="1"/>
  <c r="M42" i="16" s="1"/>
  <c r="M40" i="16"/>
  <c r="Z36" i="19"/>
  <c r="AA36" i="19" s="1"/>
  <c r="L23" i="16" l="1"/>
  <c r="M23" i="16" s="1"/>
  <c r="L21" i="16"/>
  <c r="M21" i="16" s="1"/>
  <c r="L20" i="16"/>
  <c r="M20" i="16" s="1"/>
  <c r="L19" i="16"/>
  <c r="M19" i="16" s="1"/>
  <c r="L18" i="16"/>
  <c r="M18" i="16" s="1"/>
  <c r="L17" i="16"/>
  <c r="M17" i="16" s="1"/>
  <c r="L16" i="16"/>
  <c r="M16" i="16" s="1"/>
  <c r="L30" i="16"/>
  <c r="M30" i="16" s="1"/>
  <c r="L32" i="16"/>
  <c r="M32" i="16" s="1"/>
  <c r="L31" i="16"/>
  <c r="M31" i="16" s="1"/>
  <c r="L64" i="16" l="1"/>
  <c r="M64" i="16" s="1"/>
  <c r="L33" i="16"/>
  <c r="M33" i="16" s="1"/>
  <c r="L24" i="16"/>
  <c r="M24" i="16" s="1"/>
  <c r="S39" i="59"/>
  <c r="Z39" i="59"/>
  <c r="Y39" i="59"/>
  <c r="X39" i="59"/>
  <c r="W39" i="59"/>
  <c r="R39" i="59"/>
  <c r="AA38" i="59"/>
  <c r="AA37" i="59"/>
  <c r="Z32" i="59"/>
  <c r="Y32" i="59"/>
  <c r="X32" i="59"/>
  <c r="W32" i="59"/>
  <c r="S32" i="59"/>
  <c r="R32" i="59"/>
  <c r="Q32" i="59"/>
  <c r="AA31" i="59"/>
  <c r="AA30" i="59"/>
  <c r="U32" i="59" l="1"/>
  <c r="U39" i="59"/>
  <c r="AA39" i="59"/>
  <c r="AA32" i="59"/>
  <c r="I225" i="43" l="1"/>
  <c r="H225" i="43"/>
  <c r="G225" i="43"/>
  <c r="F225" i="43"/>
  <c r="E225" i="43"/>
  <c r="D225" i="43"/>
  <c r="C225" i="43"/>
  <c r="B225" i="43"/>
  <c r="Q50" i="31"/>
  <c r="S59" i="19" l="1"/>
  <c r="S79" i="19" s="1"/>
  <c r="R71" i="19" l="1"/>
  <c r="S71" i="19"/>
  <c r="S78" i="19" s="1"/>
  <c r="S77" i="19" s="1"/>
  <c r="U71" i="19" l="1"/>
  <c r="S49" i="19"/>
  <c r="S37" i="19"/>
  <c r="D26" i="19" l="1"/>
  <c r="R78" i="19"/>
  <c r="R77" i="19" s="1"/>
  <c r="C243" i="43" l="1"/>
  <c r="D243" i="43"/>
  <c r="E243" i="43"/>
  <c r="F243" i="43"/>
  <c r="G243" i="43"/>
  <c r="H243" i="43"/>
  <c r="I243" i="43"/>
  <c r="J243" i="43"/>
  <c r="B243" i="43"/>
  <c r="Q37" i="19" l="1"/>
  <c r="AG64" i="19"/>
  <c r="B26" i="19" l="1"/>
  <c r="R59" i="19"/>
  <c r="R79" i="19" s="1"/>
  <c r="U37" i="19" l="1"/>
  <c r="C26" i="19"/>
  <c r="R49" i="19"/>
  <c r="F26" i="19" l="1"/>
  <c r="D261" i="43"/>
  <c r="E21" i="31"/>
  <c r="O39" i="16" l="1"/>
  <c r="Q39" i="16" s="1"/>
  <c r="O41" i="16"/>
  <c r="Q41" i="16" s="1"/>
  <c r="O40" i="16"/>
  <c r="Q40" i="16" s="1"/>
  <c r="P24" i="16"/>
  <c r="O23" i="16"/>
  <c r="Q23" i="16" s="1"/>
  <c r="O21" i="16"/>
  <c r="Q21" i="16" s="1"/>
  <c r="O20" i="16"/>
  <c r="Q20" i="16" s="1"/>
  <c r="O19" i="16"/>
  <c r="Q19" i="16" s="1"/>
  <c r="O18" i="16"/>
  <c r="Q18" i="16" s="1"/>
  <c r="O17" i="16"/>
  <c r="Q17" i="16" s="1"/>
  <c r="O16" i="16"/>
  <c r="Q16" i="16" s="1"/>
  <c r="Q51" i="16"/>
  <c r="O32" i="16"/>
  <c r="Q32" i="16" s="1"/>
  <c r="O31" i="16"/>
  <c r="Q31" i="16" s="1"/>
  <c r="O30" i="16"/>
  <c r="Q30" i="16" s="1"/>
  <c r="Q63" i="16"/>
  <c r="Q62" i="16"/>
  <c r="Q61" i="16"/>
  <c r="Q60" i="16"/>
  <c r="Q59" i="16"/>
  <c r="Q58" i="16"/>
  <c r="Q57" i="16"/>
  <c r="Q56" i="16"/>
  <c r="Q55" i="16"/>
  <c r="Q54" i="16"/>
  <c r="Q53" i="16"/>
  <c r="Q52" i="16"/>
  <c r="Q50" i="16"/>
  <c r="Q49" i="16"/>
  <c r="Q48" i="16"/>
  <c r="O64" i="16"/>
  <c r="O24" i="16" l="1"/>
  <c r="Q24" i="16" s="1"/>
  <c r="O42" i="16"/>
  <c r="O33" i="16"/>
  <c r="O47" i="30" l="1"/>
  <c r="Q78" i="19"/>
  <c r="Q77" i="19" l="1"/>
  <c r="U77" i="19" s="1"/>
  <c r="U78" i="19"/>
  <c r="Q79" i="19"/>
  <c r="U79" i="19" s="1"/>
  <c r="U59" i="19"/>
  <c r="U49" i="19"/>
  <c r="O56" i="30" l="1"/>
  <c r="Z59" i="19" l="1"/>
  <c r="AA67" i="19"/>
  <c r="X59" i="19" l="1"/>
  <c r="AA65" i="19"/>
  <c r="AA66" i="19"/>
  <c r="AA68" i="19"/>
  <c r="AA69" i="19"/>
  <c r="AA70" i="19"/>
  <c r="AA72" i="19"/>
  <c r="AA73" i="19"/>
  <c r="AA74" i="19"/>
  <c r="AA75" i="19"/>
  <c r="AA76" i="19"/>
  <c r="AA64" i="19"/>
  <c r="AA55" i="19"/>
  <c r="AA56" i="19"/>
  <c r="AA57" i="19"/>
  <c r="AA58" i="19"/>
  <c r="AA54" i="19"/>
  <c r="AA49" i="19" l="1"/>
  <c r="P64" i="16" l="1"/>
  <c r="Q64" i="16" s="1"/>
  <c r="P42" i="16"/>
  <c r="Q42" i="16" s="1"/>
  <c r="P33" i="16"/>
  <c r="Q33" i="16" s="1"/>
  <c r="N56" i="30" l="1"/>
  <c r="V47" i="30"/>
  <c r="Y71" i="19" l="1"/>
  <c r="Y78" i="19" s="1"/>
  <c r="AC59" i="19" l="1"/>
  <c r="Y59" i="19"/>
  <c r="W59" i="19"/>
  <c r="AA59" i="19" l="1"/>
  <c r="X48" i="19"/>
  <c r="M56" i="30"/>
  <c r="Z48" i="19" l="1"/>
  <c r="AA48" i="19" s="1"/>
  <c r="U47" i="30"/>
  <c r="X47" i="19" l="1"/>
  <c r="X46" i="19"/>
  <c r="X45" i="19"/>
  <c r="X44" i="19"/>
  <c r="X43" i="19"/>
  <c r="AG58" i="19"/>
  <c r="U54" i="16"/>
  <c r="U49" i="16"/>
  <c r="U50" i="16"/>
  <c r="U51" i="16"/>
  <c r="U52" i="16"/>
  <c r="U53" i="16"/>
  <c r="U55" i="16"/>
  <c r="U56" i="16"/>
  <c r="U57" i="16"/>
  <c r="U58" i="16"/>
  <c r="U59" i="16"/>
  <c r="U60" i="16"/>
  <c r="U61" i="16"/>
  <c r="U62" i="16"/>
  <c r="U63" i="16"/>
  <c r="U48" i="16"/>
  <c r="Y48" i="16"/>
  <c r="S41" i="16"/>
  <c r="S40" i="16"/>
  <c r="S39" i="16"/>
  <c r="S31" i="16"/>
  <c r="S23" i="16"/>
  <c r="S21" i="16"/>
  <c r="S20" i="16"/>
  <c r="S19" i="16"/>
  <c r="S18" i="16"/>
  <c r="S17" i="16"/>
  <c r="S16" i="16"/>
  <c r="S32" i="16"/>
  <c r="S30" i="16"/>
  <c r="T32" i="16"/>
  <c r="U32" i="16" l="1"/>
  <c r="Z43" i="19"/>
  <c r="AA43" i="19" s="1"/>
  <c r="Z44" i="19"/>
  <c r="Z71" i="19" s="1"/>
  <c r="Z78" i="19" s="1"/>
  <c r="Z45" i="19"/>
  <c r="AA45" i="19" s="1"/>
  <c r="Z46" i="19"/>
  <c r="AA46" i="19" s="1"/>
  <c r="Z47" i="19"/>
  <c r="AA47" i="19" s="1"/>
  <c r="X71" i="19"/>
  <c r="X78" i="19" s="1"/>
  <c r="Y16" i="16"/>
  <c r="T30" i="16"/>
  <c r="U30" i="16" s="1"/>
  <c r="S64" i="16"/>
  <c r="S42" i="16"/>
  <c r="S33" i="16"/>
  <c r="S24" i="16"/>
  <c r="T64" i="16"/>
  <c r="T41" i="16"/>
  <c r="U41" i="16" s="1"/>
  <c r="T40" i="16"/>
  <c r="U40" i="16" s="1"/>
  <c r="T39" i="16"/>
  <c r="T31" i="16"/>
  <c r="U31" i="16" s="1"/>
  <c r="T23" i="16"/>
  <c r="U23" i="16" s="1"/>
  <c r="T21" i="16"/>
  <c r="U21" i="16" s="1"/>
  <c r="T20" i="16"/>
  <c r="U20" i="16" s="1"/>
  <c r="T19" i="16"/>
  <c r="U19" i="16" s="1"/>
  <c r="T18" i="16"/>
  <c r="U18" i="16" s="1"/>
  <c r="T17" i="16"/>
  <c r="U17" i="16" s="1"/>
  <c r="T16" i="16"/>
  <c r="U16" i="16" s="1"/>
  <c r="U64" i="16" l="1"/>
  <c r="T42" i="16"/>
  <c r="U42" i="16" s="1"/>
  <c r="AA44" i="19"/>
  <c r="U39" i="16"/>
  <c r="T24" i="16"/>
  <c r="U24" i="16" s="1"/>
  <c r="T33" i="16"/>
  <c r="U33" i="16" s="1"/>
  <c r="U56" i="30" l="1"/>
  <c r="T47" i="30"/>
  <c r="AC78" i="19" l="1"/>
  <c r="W71" i="19"/>
  <c r="W78" i="19" l="1"/>
  <c r="AA71" i="19"/>
  <c r="AL59" i="19"/>
  <c r="AK59" i="19"/>
  <c r="AJ59" i="19"/>
  <c r="AI59" i="19"/>
  <c r="AF59" i="19"/>
  <c r="AE59" i="19"/>
  <c r="AD59" i="19"/>
  <c r="AG55" i="19"/>
  <c r="AG56" i="19"/>
  <c r="AG57" i="19"/>
  <c r="AG54" i="19"/>
  <c r="AM55" i="19"/>
  <c r="AM56" i="19"/>
  <c r="AM57" i="19"/>
  <c r="AM58" i="19"/>
  <c r="AM54" i="19"/>
  <c r="AA78" i="19" l="1"/>
  <c r="AG59" i="19"/>
  <c r="AM59" i="19"/>
  <c r="AG70" i="19" l="1"/>
  <c r="AM47" i="19"/>
  <c r="AM46" i="19"/>
  <c r="AM45" i="19"/>
  <c r="AM44" i="19"/>
  <c r="AM43" i="19"/>
  <c r="AM37" i="19"/>
  <c r="AM36" i="19"/>
  <c r="AM35" i="19"/>
  <c r="AG36" i="19"/>
  <c r="AG35" i="19"/>
  <c r="AG48" i="19"/>
  <c r="AG47" i="19"/>
  <c r="AG46" i="19"/>
  <c r="AG45" i="19"/>
  <c r="AG44" i="19"/>
  <c r="AG43" i="19"/>
  <c r="AM49" i="19" l="1"/>
  <c r="AI22" i="22"/>
  <c r="T56" i="30"/>
  <c r="S56" i="30"/>
  <c r="AF78" i="19" l="1"/>
  <c r="AG65" i="19"/>
  <c r="AG66" i="19"/>
  <c r="AG67" i="19"/>
  <c r="AG68" i="19"/>
  <c r="AG69" i="19"/>
  <c r="AG71" i="19"/>
  <c r="AG72" i="19"/>
  <c r="AG73" i="19"/>
  <c r="AG74" i="19"/>
  <c r="AG75" i="19"/>
  <c r="AG76" i="19"/>
  <c r="AE49" i="19" l="1"/>
  <c r="AE37" i="19" s="1"/>
  <c r="AC49" i="19"/>
  <c r="AC37" i="19" s="1"/>
  <c r="AF49" i="19"/>
  <c r="AG25" i="30" l="1"/>
  <c r="AE78" i="19" l="1"/>
  <c r="AD49" i="19" l="1"/>
  <c r="AG49" i="19" l="1"/>
  <c r="AD37" i="19"/>
  <c r="R56" i="30"/>
  <c r="Z56" i="30"/>
  <c r="X56" i="30"/>
  <c r="AD78" i="19" l="1"/>
  <c r="AC17" i="16" l="1"/>
  <c r="AC18" i="16"/>
  <c r="AC19" i="16"/>
  <c r="AC20" i="16"/>
  <c r="AC21" i="16"/>
  <c r="AC22" i="16"/>
  <c r="AC23" i="16"/>
  <c r="AC24" i="16"/>
  <c r="AC16" i="16"/>
  <c r="Y17" i="16"/>
  <c r="Y18" i="16"/>
  <c r="Y19" i="16"/>
  <c r="Y20" i="16"/>
  <c r="Y21" i="16"/>
  <c r="Y22" i="16"/>
  <c r="Y23" i="16"/>
  <c r="Y24" i="16"/>
  <c r="AC31" i="16"/>
  <c r="AC32" i="16"/>
  <c r="AC33" i="16"/>
  <c r="AC30" i="16"/>
  <c r="Y31" i="16"/>
  <c r="Y32" i="16"/>
  <c r="Y33" i="16"/>
  <c r="Y30" i="16"/>
  <c r="AC40" i="16"/>
  <c r="AC41" i="16"/>
  <c r="AC39" i="16"/>
  <c r="AB42" i="16"/>
  <c r="AA42" i="16"/>
  <c r="AC49" i="16"/>
  <c r="AC50" i="16"/>
  <c r="AC51" i="16"/>
  <c r="AC52" i="16"/>
  <c r="AC53" i="16"/>
  <c r="AC54" i="16"/>
  <c r="AC55" i="16"/>
  <c r="AC56" i="16"/>
  <c r="AC57" i="16"/>
  <c r="AC58" i="16"/>
  <c r="AC59" i="16"/>
  <c r="AC60" i="16"/>
  <c r="AC61" i="16"/>
  <c r="AC62" i="16"/>
  <c r="AC63" i="16"/>
  <c r="AC64" i="16"/>
  <c r="AC48" i="16"/>
  <c r="Y49" i="16"/>
  <c r="Y50" i="16"/>
  <c r="Y51" i="16"/>
  <c r="Y52" i="16"/>
  <c r="Y53" i="16"/>
  <c r="Y54" i="16"/>
  <c r="Y55" i="16"/>
  <c r="Y56" i="16"/>
  <c r="Y57" i="16"/>
  <c r="Y58" i="16"/>
  <c r="Y59" i="16"/>
  <c r="Y60" i="16"/>
  <c r="Y61" i="16"/>
  <c r="Y62" i="16"/>
  <c r="Y63" i="16"/>
  <c r="Y64" i="16"/>
  <c r="AC42" i="16" l="1"/>
  <c r="AK47" i="30"/>
  <c r="AJ47" i="30"/>
  <c r="AJ25" i="30"/>
  <c r="AK25" i="30"/>
  <c r="AL25" i="30"/>
  <c r="AM25" i="30"/>
  <c r="AI25" i="30"/>
  <c r="X42" i="16" l="1"/>
  <c r="W42" i="16"/>
  <c r="Y40" i="16"/>
  <c r="Y41" i="16"/>
  <c r="Y39" i="16"/>
  <c r="AM78" i="19"/>
  <c r="AM65" i="19"/>
  <c r="AM66" i="19"/>
  <c r="AM68" i="19"/>
  <c r="AM69" i="19"/>
  <c r="AM70" i="19"/>
  <c r="AM71" i="19"/>
  <c r="AM72" i="19"/>
  <c r="AM73" i="19"/>
  <c r="AM74" i="19"/>
  <c r="AM75" i="19"/>
  <c r="AM76" i="19"/>
  <c r="AG78" i="19"/>
  <c r="AF22" i="30"/>
  <c r="AF25" i="30" s="1"/>
  <c r="AE22" i="30"/>
  <c r="AE25" i="30" s="1"/>
  <c r="AD22" i="30"/>
  <c r="AD25" i="30" s="1"/>
  <c r="Y56" i="30"/>
  <c r="W56" i="30"/>
  <c r="AJ49" i="19"/>
  <c r="AK49" i="19"/>
  <c r="AL49" i="19"/>
  <c r="AI49" i="19"/>
  <c r="Y42" i="16" l="1"/>
  <c r="AG37" i="19" l="1"/>
</calcChain>
</file>

<file path=xl/sharedStrings.xml><?xml version="1.0" encoding="utf-8"?>
<sst xmlns="http://schemas.openxmlformats.org/spreadsheetml/2006/main" count="5704" uniqueCount="2285">
  <si>
    <t>Asset-Backed Commercial Paper</t>
  </si>
  <si>
    <t>Credit Quality-Rating Changes</t>
  </si>
  <si>
    <t xml:space="preserve">                                                 </t>
  </si>
  <si>
    <t>€ Billions</t>
  </si>
  <si>
    <t>Q1</t>
  </si>
  <si>
    <t>Q2</t>
  </si>
  <si>
    <t>Q3</t>
  </si>
  <si>
    <t>Q4</t>
  </si>
  <si>
    <t>CMBS</t>
  </si>
  <si>
    <t xml:space="preserve">RMBS </t>
  </si>
  <si>
    <t>Austria</t>
  </si>
  <si>
    <t>Belgium</t>
  </si>
  <si>
    <t>France</t>
  </si>
  <si>
    <t>Germany</t>
  </si>
  <si>
    <t>Greece</t>
  </si>
  <si>
    <t>Ireland</t>
  </si>
  <si>
    <t>Italy</t>
  </si>
  <si>
    <t>Netherlands</t>
  </si>
  <si>
    <t>Portugal</t>
  </si>
  <si>
    <t>Spain</t>
  </si>
  <si>
    <t>UK</t>
  </si>
  <si>
    <t>Multinational</t>
  </si>
  <si>
    <t>Total</t>
  </si>
  <si>
    <t>US</t>
  </si>
  <si>
    <t>Auto</t>
  </si>
  <si>
    <t>RMBS</t>
  </si>
  <si>
    <t>Aaa/AAA</t>
  </si>
  <si>
    <t>Aa/AA</t>
  </si>
  <si>
    <t>A/A</t>
  </si>
  <si>
    <t>Baa/BBB</t>
  </si>
  <si>
    <t>Ba/BB</t>
  </si>
  <si>
    <t>B/B</t>
  </si>
  <si>
    <t>Caa/CCC</t>
  </si>
  <si>
    <t>Ca/CC</t>
  </si>
  <si>
    <t>C/C</t>
  </si>
  <si>
    <t>Credit Card</t>
  </si>
  <si>
    <t xml:space="preserve">European and US Securitisation Issuance </t>
  </si>
  <si>
    <t>Single-Seller</t>
  </si>
  <si>
    <t>Multi-Seller</t>
  </si>
  <si>
    <t>CDO</t>
  </si>
  <si>
    <t>RMBS (prime)</t>
  </si>
  <si>
    <t>Non-Agency CMBS</t>
  </si>
  <si>
    <t>Non-Agency RMBS</t>
  </si>
  <si>
    <t>Agency MBS</t>
  </si>
  <si>
    <t>European Total</t>
  </si>
  <si>
    <t>N/A</t>
  </si>
  <si>
    <t>0/0</t>
  </si>
  <si>
    <t>1/0</t>
  </si>
  <si>
    <t>RMBS (subprime)</t>
  </si>
  <si>
    <t>Balances Outstanding</t>
  </si>
  <si>
    <t>(as percentage of total Moody's rated securities)</t>
  </si>
  <si>
    <t>4/0</t>
  </si>
  <si>
    <t>0/1</t>
  </si>
  <si>
    <t>0/4</t>
  </si>
  <si>
    <t>TOTAL</t>
  </si>
  <si>
    <t>RMBS (non-conforming)</t>
  </si>
  <si>
    <t>Finland</t>
  </si>
  <si>
    <t>1/1</t>
  </si>
  <si>
    <t>SME</t>
  </si>
  <si>
    <t>Retained</t>
  </si>
  <si>
    <t>Other Europe</t>
  </si>
  <si>
    <t>Prior</t>
  </si>
  <si>
    <t>2/1</t>
  </si>
  <si>
    <t>5/0</t>
  </si>
  <si>
    <t>30/0</t>
  </si>
  <si>
    <t>3/0</t>
  </si>
  <si>
    <t>3/6</t>
  </si>
  <si>
    <t>6/0</t>
  </si>
  <si>
    <t>RMBS (non-prime)</t>
  </si>
  <si>
    <t>2/0</t>
  </si>
  <si>
    <t>Securitisation Data Report</t>
  </si>
  <si>
    <t>Page &amp; Tab Number</t>
  </si>
  <si>
    <t>1. Issuance</t>
  </si>
  <si>
    <t>2. Balances Outstanding</t>
  </si>
  <si>
    <t>Upgrades/Downgrades by Country</t>
  </si>
  <si>
    <t>Upgrades/Downgrades by Collateral</t>
  </si>
  <si>
    <t>3/3</t>
  </si>
  <si>
    <t>5/3</t>
  </si>
  <si>
    <t>8/0</t>
  </si>
  <si>
    <t>8/1</t>
  </si>
  <si>
    <t>12/0</t>
  </si>
  <si>
    <t>4/2</t>
  </si>
  <si>
    <t>14/0</t>
  </si>
  <si>
    <t>1/2</t>
  </si>
  <si>
    <t>13/0</t>
  </si>
  <si>
    <t>5/2</t>
  </si>
  <si>
    <t>11/0</t>
  </si>
  <si>
    <t>25/1</t>
  </si>
  <si>
    <t>ABS</t>
  </si>
  <si>
    <t>CDO/CLO</t>
  </si>
  <si>
    <t>Placed</t>
  </si>
  <si>
    <t>US Total</t>
  </si>
  <si>
    <t>Other</t>
  </si>
  <si>
    <t>Other ABS</t>
  </si>
  <si>
    <t>Other RMBS</t>
  </si>
  <si>
    <t>22/0</t>
  </si>
  <si>
    <t>2/7</t>
  </si>
  <si>
    <t>21/0</t>
  </si>
  <si>
    <t>8/17</t>
  </si>
  <si>
    <t>9/7</t>
  </si>
  <si>
    <t>41/7</t>
  </si>
  <si>
    <t>12/10</t>
  </si>
  <si>
    <t>231/13</t>
  </si>
  <si>
    <t>691/19</t>
  </si>
  <si>
    <t>513/25</t>
  </si>
  <si>
    <t>412/22</t>
  </si>
  <si>
    <t>1911/98</t>
  </si>
  <si>
    <t>5892/1441</t>
  </si>
  <si>
    <t>12/1</t>
  </si>
  <si>
    <t>26/18</t>
  </si>
  <si>
    <t>6/15</t>
  </si>
  <si>
    <t>64/35</t>
  </si>
  <si>
    <t>912/67</t>
  </si>
  <si>
    <t>9/0</t>
  </si>
  <si>
    <t>52/42</t>
  </si>
  <si>
    <t>17/30</t>
  </si>
  <si>
    <t>88/51</t>
  </si>
  <si>
    <t>148/66</t>
  </si>
  <si>
    <t>447/245</t>
  </si>
  <si>
    <t>2310/1733</t>
  </si>
  <si>
    <t>11/19</t>
  </si>
  <si>
    <t>12/55</t>
  </si>
  <si>
    <t>434/109</t>
  </si>
  <si>
    <t>2374/2632</t>
  </si>
  <si>
    <t>CMBS Spreads</t>
  </si>
  <si>
    <t>bps</t>
  </si>
  <si>
    <t>RMBS Spreads</t>
  </si>
  <si>
    <t>16/1</t>
  </si>
  <si>
    <t>52/115</t>
  </si>
  <si>
    <t>143/458</t>
  </si>
  <si>
    <t>659/766</t>
  </si>
  <si>
    <t>25/0</t>
  </si>
  <si>
    <t>7/0</t>
  </si>
  <si>
    <t>10/2</t>
  </si>
  <si>
    <t>23/4</t>
  </si>
  <si>
    <t>51/9</t>
  </si>
  <si>
    <t>1020/118</t>
  </si>
  <si>
    <t>7/13</t>
  </si>
  <si>
    <t>48/50</t>
  </si>
  <si>
    <t>24/30</t>
  </si>
  <si>
    <t>16/25</t>
  </si>
  <si>
    <t>239/67</t>
  </si>
  <si>
    <t>253/108</t>
  </si>
  <si>
    <t>3/4</t>
  </si>
  <si>
    <t>664/380</t>
  </si>
  <si>
    <t>3129/3270</t>
  </si>
  <si>
    <t>5/28</t>
  </si>
  <si>
    <t>0/12</t>
  </si>
  <si>
    <t>404/30</t>
  </si>
  <si>
    <t>251/182</t>
  </si>
  <si>
    <t>682/87</t>
  </si>
  <si>
    <t>1345/345</t>
  </si>
  <si>
    <t>6054/1637</t>
  </si>
  <si>
    <t>21/45</t>
  </si>
  <si>
    <t>14/185</t>
  </si>
  <si>
    <t>12/22</t>
  </si>
  <si>
    <t>72/122</t>
  </si>
  <si>
    <t>177/94</t>
  </si>
  <si>
    <t>449/214</t>
  </si>
  <si>
    <t>748/688</t>
  </si>
  <si>
    <t>1995/2736</t>
  </si>
  <si>
    <t>10/0</t>
  </si>
  <si>
    <t>207/2</t>
  </si>
  <si>
    <t>48/0</t>
  </si>
  <si>
    <t>2/4</t>
  </si>
  <si>
    <t>24/4</t>
  </si>
  <si>
    <t>40/31</t>
  </si>
  <si>
    <t>35/7</t>
  </si>
  <si>
    <t>20/27</t>
  </si>
  <si>
    <t>86/30</t>
  </si>
  <si>
    <t>203/48</t>
  </si>
  <si>
    <t>441/156</t>
  </si>
  <si>
    <t>4105/1994</t>
  </si>
  <si>
    <t>19/0</t>
  </si>
  <si>
    <t>46/4</t>
  </si>
  <si>
    <t>87/7</t>
  </si>
  <si>
    <t>181/13</t>
  </si>
  <si>
    <t>1766/15</t>
  </si>
  <si>
    <t>13/2</t>
  </si>
  <si>
    <t>28/4</t>
  </si>
  <si>
    <t>31/20</t>
  </si>
  <si>
    <t>317/21</t>
  </si>
  <si>
    <t>682/59</t>
  </si>
  <si>
    <t>5538/1910</t>
  </si>
  <si>
    <t>11/1</t>
  </si>
  <si>
    <t>13/19</t>
  </si>
  <si>
    <t>7/3</t>
  </si>
  <si>
    <t>57/30</t>
  </si>
  <si>
    <t>57/13</t>
  </si>
  <si>
    <t>254/72</t>
  </si>
  <si>
    <t>401/72</t>
  </si>
  <si>
    <t>790/209</t>
  </si>
  <si>
    <t>2375/1713</t>
  </si>
  <si>
    <t>5/4</t>
  </si>
  <si>
    <t>38/0</t>
  </si>
  <si>
    <t>33/0</t>
  </si>
  <si>
    <t>17/0</t>
  </si>
  <si>
    <t>36/0</t>
  </si>
  <si>
    <t>30/4</t>
  </si>
  <si>
    <t>54/0</t>
  </si>
  <si>
    <t>16/7</t>
  </si>
  <si>
    <t>16/9</t>
  </si>
  <si>
    <t>105/8</t>
  </si>
  <si>
    <t>28/7</t>
  </si>
  <si>
    <t>79/12</t>
  </si>
  <si>
    <t>333/33</t>
  </si>
  <si>
    <t>181/61</t>
  </si>
  <si>
    <t>744/130</t>
  </si>
  <si>
    <t>1426/1217</t>
  </si>
  <si>
    <t>19/33</t>
  </si>
  <si>
    <t>42/132</t>
  </si>
  <si>
    <t>30/47</t>
  </si>
  <si>
    <t>105/34</t>
  </si>
  <si>
    <t>314/54</t>
  </si>
  <si>
    <t>572/359</t>
  </si>
  <si>
    <t>3124/2242</t>
  </si>
  <si>
    <t>48/1</t>
  </si>
  <si>
    <t>34/0</t>
  </si>
  <si>
    <t>20/0</t>
  </si>
  <si>
    <t>66/8</t>
  </si>
  <si>
    <t>29/5</t>
  </si>
  <si>
    <t>19/4</t>
  </si>
  <si>
    <t>19/14</t>
  </si>
  <si>
    <t>180/35</t>
  </si>
  <si>
    <t>1801/354</t>
  </si>
  <si>
    <t>19/2</t>
  </si>
  <si>
    <t>11/2</t>
  </si>
  <si>
    <t>99/7</t>
  </si>
  <si>
    <t>264/31</t>
  </si>
  <si>
    <t>181/7</t>
  </si>
  <si>
    <t>903/8</t>
  </si>
  <si>
    <t>2694/82</t>
  </si>
  <si>
    <t>2018:Q1</t>
  </si>
  <si>
    <t>2018:Q2</t>
  </si>
  <si>
    <t>2018:Q3</t>
  </si>
  <si>
    <t>2018:Q4</t>
  </si>
  <si>
    <t>72/8</t>
  </si>
  <si>
    <t>568/86</t>
  </si>
  <si>
    <t>43/4</t>
  </si>
  <si>
    <t>41/0</t>
  </si>
  <si>
    <t>18/6</t>
  </si>
  <si>
    <t>42/17</t>
  </si>
  <si>
    <t>467/63</t>
  </si>
  <si>
    <t>15/0</t>
  </si>
  <si>
    <t>480/23</t>
  </si>
  <si>
    <t>112/1</t>
  </si>
  <si>
    <t>18/3</t>
  </si>
  <si>
    <t>26/0</t>
  </si>
  <si>
    <t>302/19</t>
  </si>
  <si>
    <t>3/5</t>
  </si>
  <si>
    <t>22/3</t>
  </si>
  <si>
    <t>7/2</t>
  </si>
  <si>
    <t>33/3</t>
  </si>
  <si>
    <t>38/5</t>
  </si>
  <si>
    <t>67/0</t>
  </si>
  <si>
    <t>16/6</t>
  </si>
  <si>
    <t>24/33</t>
  </si>
  <si>
    <t>284/120</t>
  </si>
  <si>
    <t>279/28</t>
  </si>
  <si>
    <t>847/260</t>
  </si>
  <si>
    <t>14/1</t>
  </si>
  <si>
    <t>0/6</t>
  </si>
  <si>
    <t>178/17</t>
  </si>
  <si>
    <t>42/4</t>
  </si>
  <si>
    <t>24/0</t>
  </si>
  <si>
    <t>14/34</t>
  </si>
  <si>
    <t>24/10</t>
  </si>
  <si>
    <t>44/55</t>
  </si>
  <si>
    <t>91/0</t>
  </si>
  <si>
    <t>15/9</t>
  </si>
  <si>
    <t>635/152</t>
  </si>
  <si>
    <t>442/16</t>
  </si>
  <si>
    <t>31/9</t>
  </si>
  <si>
    <t>4/26</t>
  </si>
  <si>
    <t>23/0</t>
  </si>
  <si>
    <t>15/13</t>
  </si>
  <si>
    <t>299/3</t>
  </si>
  <si>
    <t>82/0</t>
  </si>
  <si>
    <t>134/0</t>
  </si>
  <si>
    <t>182/19</t>
  </si>
  <si>
    <t>793/1141</t>
  </si>
  <si>
    <t>8/7</t>
  </si>
  <si>
    <t>9/12</t>
  </si>
  <si>
    <t>128/0</t>
  </si>
  <si>
    <t>115/0</t>
  </si>
  <si>
    <t>24/5</t>
  </si>
  <si>
    <t>50/36</t>
  </si>
  <si>
    <t>143/117</t>
  </si>
  <si>
    <t>444/983</t>
  </si>
  <si>
    <t>164/34</t>
  </si>
  <si>
    <t>1184/732</t>
  </si>
  <si>
    <t>16/2</t>
  </si>
  <si>
    <t>106/8</t>
  </si>
  <si>
    <t>57/29</t>
  </si>
  <si>
    <t>102/46</t>
  </si>
  <si>
    <t>98/380</t>
  </si>
  <si>
    <t>544/140</t>
  </si>
  <si>
    <t>344/137</t>
  </si>
  <si>
    <t>13/1</t>
  </si>
  <si>
    <t>172/4</t>
  </si>
  <si>
    <t>518/68</t>
  </si>
  <si>
    <t>143/0</t>
  </si>
  <si>
    <t>14/8</t>
  </si>
  <si>
    <t>28/12</t>
  </si>
  <si>
    <t>454/48</t>
  </si>
  <si>
    <t>30/15</t>
  </si>
  <si>
    <t>360/130</t>
  </si>
  <si>
    <t>18/2</t>
  </si>
  <si>
    <t>18/0</t>
  </si>
  <si>
    <t>259/115</t>
  </si>
  <si>
    <t>9/1</t>
  </si>
  <si>
    <t>80/15</t>
  </si>
  <si>
    <t>110/17</t>
  </si>
  <si>
    <t>857/241</t>
  </si>
  <si>
    <t>496/326</t>
  </si>
  <si>
    <t>6/6</t>
  </si>
  <si>
    <t>25/4</t>
  </si>
  <si>
    <t>0/7</t>
  </si>
  <si>
    <t>53/6</t>
  </si>
  <si>
    <t>47/1</t>
  </si>
  <si>
    <t>17/9</t>
  </si>
  <si>
    <t>29/13</t>
  </si>
  <si>
    <t>207/191</t>
  </si>
  <si>
    <t>466/82</t>
  </si>
  <si>
    <t>196/112</t>
  </si>
  <si>
    <t>11/128</t>
  </si>
  <si>
    <t>49/3</t>
  </si>
  <si>
    <t>107/134</t>
  </si>
  <si>
    <t>29/4</t>
  </si>
  <si>
    <t>31/42</t>
  </si>
  <si>
    <t>56/4</t>
  </si>
  <si>
    <t>304/11</t>
  </si>
  <si>
    <t>473/61</t>
  </si>
  <si>
    <t>6/2</t>
  </si>
  <si>
    <t>26/4</t>
  </si>
  <si>
    <t>27/0</t>
  </si>
  <si>
    <t>65/10</t>
  </si>
  <si>
    <t>31/0</t>
  </si>
  <si>
    <t>85/0</t>
  </si>
  <si>
    <t>19/23</t>
  </si>
  <si>
    <t>31/1</t>
  </si>
  <si>
    <t>43/3</t>
  </si>
  <si>
    <t>85/4</t>
  </si>
  <si>
    <t>263/38</t>
  </si>
  <si>
    <t>364/8</t>
  </si>
  <si>
    <t>277/2</t>
  </si>
  <si>
    <t>1563/49</t>
  </si>
  <si>
    <t>28/26</t>
  </si>
  <si>
    <t>36/2</t>
  </si>
  <si>
    <t>82/1</t>
  </si>
  <si>
    <t>41/3</t>
  </si>
  <si>
    <t>262/38</t>
  </si>
  <si>
    <t>228/1</t>
  </si>
  <si>
    <t>42/1</t>
  </si>
  <si>
    <t>72/1</t>
  </si>
  <si>
    <t>83/23</t>
  </si>
  <si>
    <t>43/0</t>
  </si>
  <si>
    <t>272/0</t>
  </si>
  <si>
    <t>1007/22</t>
  </si>
  <si>
    <t>22/1</t>
  </si>
  <si>
    <t>130/2</t>
  </si>
  <si>
    <t>6/70</t>
  </si>
  <si>
    <t>175/2</t>
  </si>
  <si>
    <t>40/17</t>
  </si>
  <si>
    <t>280/98</t>
  </si>
  <si>
    <t>1899/394</t>
  </si>
  <si>
    <t>2/15</t>
  </si>
  <si>
    <t>38/58</t>
  </si>
  <si>
    <t>235/64</t>
  </si>
  <si>
    <t>6/9</t>
  </si>
  <si>
    <t>46/13</t>
  </si>
  <si>
    <t>50/71</t>
  </si>
  <si>
    <t>324/98</t>
  </si>
  <si>
    <t>56/0</t>
  </si>
  <si>
    <t>173/0</t>
  </si>
  <si>
    <t>19/36</t>
  </si>
  <si>
    <t>67/56</t>
  </si>
  <si>
    <t>21/20</t>
  </si>
  <si>
    <t>122/58</t>
  </si>
  <si>
    <t>453/54</t>
  </si>
  <si>
    <t>1633/280</t>
  </si>
  <si>
    <t>549/110</t>
  </si>
  <si>
    <t>1995/394</t>
  </si>
  <si>
    <t>209/8</t>
  </si>
  <si>
    <t>121/13</t>
  </si>
  <si>
    <t>38/33</t>
  </si>
  <si>
    <t>35/11</t>
  </si>
  <si>
    <t>407/62</t>
  </si>
  <si>
    <t>377/178</t>
  </si>
  <si>
    <t>2523/1886</t>
  </si>
  <si>
    <t>56/23</t>
  </si>
  <si>
    <t>2/2</t>
  </si>
  <si>
    <t>11/25</t>
  </si>
  <si>
    <t>216/9</t>
  </si>
  <si>
    <t>106/5</t>
  </si>
  <si>
    <t>115/1</t>
  </si>
  <si>
    <t>344/2</t>
  </si>
  <si>
    <t>86/33</t>
  </si>
  <si>
    <t>51/17</t>
  </si>
  <si>
    <t>154/99</t>
  </si>
  <si>
    <t>90/82</t>
  </si>
  <si>
    <t>724/510</t>
  </si>
  <si>
    <t>92/65</t>
  </si>
  <si>
    <t>1198/1242</t>
  </si>
  <si>
    <t>2019:Q1</t>
  </si>
  <si>
    <t>2019:Q2</t>
  </si>
  <si>
    <t>2019:Q3</t>
  </si>
  <si>
    <t>2019:Q4</t>
  </si>
  <si>
    <t>1/4</t>
  </si>
  <si>
    <t>7/4</t>
  </si>
  <si>
    <t>208/237</t>
  </si>
  <si>
    <t>108/1</t>
  </si>
  <si>
    <t>41/14</t>
  </si>
  <si>
    <t>29/48</t>
  </si>
  <si>
    <t>16/91</t>
  </si>
  <si>
    <t>14/83</t>
  </si>
  <si>
    <t>433/16</t>
  </si>
  <si>
    <t>78/0</t>
  </si>
  <si>
    <t>13/3</t>
  </si>
  <si>
    <t>100/10</t>
  </si>
  <si>
    <t>222/3</t>
  </si>
  <si>
    <t>1/71</t>
  </si>
  <si>
    <t>18/5</t>
  </si>
  <si>
    <t>17/2</t>
  </si>
  <si>
    <t>91/79</t>
  </si>
  <si>
    <t>773/164</t>
  </si>
  <si>
    <t>15/10</t>
  </si>
  <si>
    <t>68/0</t>
  </si>
  <si>
    <t>5 / 0</t>
  </si>
  <si>
    <t>8 / 0</t>
  </si>
  <si>
    <t>0 / 0</t>
  </si>
  <si>
    <t>7 / 0</t>
  </si>
  <si>
    <t>41 / 0</t>
  </si>
  <si>
    <t>3 / 0</t>
  </si>
  <si>
    <t>71 / 0</t>
  </si>
  <si>
    <t>33 / 2</t>
  </si>
  <si>
    <t>10 / 0</t>
  </si>
  <si>
    <t>23 / 3</t>
  </si>
  <si>
    <t>1 / 0</t>
  </si>
  <si>
    <t>486 / 9</t>
  </si>
  <si>
    <t>22 / 0</t>
  </si>
  <si>
    <t>575 / 14</t>
  </si>
  <si>
    <t>20 / 0</t>
  </si>
  <si>
    <t>16 / 0</t>
  </si>
  <si>
    <t>23 / 0</t>
  </si>
  <si>
    <t>2 / 0</t>
  </si>
  <si>
    <t>6 / 0</t>
  </si>
  <si>
    <t>64/0</t>
  </si>
  <si>
    <t>121/5</t>
  </si>
  <si>
    <t>212/170</t>
  </si>
  <si>
    <t>102/0</t>
  </si>
  <si>
    <t>83/0</t>
  </si>
  <si>
    <t>31/21</t>
  </si>
  <si>
    <t>33/37</t>
  </si>
  <si>
    <t>64/110</t>
  </si>
  <si>
    <t>5/1</t>
  </si>
  <si>
    <t>3/71</t>
  </si>
  <si>
    <t>31/8</t>
  </si>
  <si>
    <t>26/2</t>
  </si>
  <si>
    <t>136/85</t>
  </si>
  <si>
    <t>1131/221</t>
  </si>
  <si>
    <t>11 / 6</t>
  </si>
  <si>
    <t>12 / 0</t>
  </si>
  <si>
    <t>8 / 1</t>
  </si>
  <si>
    <t>88 / 68</t>
  </si>
  <si>
    <t>17 / 10</t>
  </si>
  <si>
    <t>136 / 85</t>
  </si>
  <si>
    <t>139 / 0</t>
  </si>
  <si>
    <t>81 / 52</t>
  </si>
  <si>
    <t>81 / 49</t>
  </si>
  <si>
    <t>829 / 120</t>
  </si>
  <si>
    <t>1130 / 221</t>
  </si>
  <si>
    <t>40/0</t>
  </si>
  <si>
    <t>1/9</t>
  </si>
  <si>
    <t>80/10</t>
  </si>
  <si>
    <t>71/2</t>
  </si>
  <si>
    <t>187/14</t>
  </si>
  <si>
    <t>64/17</t>
  </si>
  <si>
    <t>11/3</t>
  </si>
  <si>
    <t>12/21</t>
  </si>
  <si>
    <t>55/11</t>
  </si>
  <si>
    <t>61/51</t>
  </si>
  <si>
    <t>28/62</t>
  </si>
  <si>
    <t>344/120</t>
  </si>
  <si>
    <t>1,467/46</t>
  </si>
  <si>
    <t>17/6</t>
  </si>
  <si>
    <t>763/110</t>
  </si>
  <si>
    <t>929/67</t>
  </si>
  <si>
    <t>2,684/351</t>
  </si>
  <si>
    <t>1,079/146</t>
  </si>
  <si>
    <t>7/129</t>
  </si>
  <si>
    <t>16/3</t>
  </si>
  <si>
    <t>9/4</t>
  </si>
  <si>
    <t>85/15</t>
  </si>
  <si>
    <t>151/151</t>
  </si>
  <si>
    <t>28/0</t>
  </si>
  <si>
    <t>10/39</t>
  </si>
  <si>
    <t>14/2</t>
  </si>
  <si>
    <t>53/29</t>
  </si>
  <si>
    <t>318/63</t>
  </si>
  <si>
    <t>453/137</t>
  </si>
  <si>
    <t>58/257</t>
  </si>
  <si>
    <t>95/6</t>
  </si>
  <si>
    <t>16/14</t>
  </si>
  <si>
    <t>386/40</t>
  </si>
  <si>
    <t>93/4</t>
  </si>
  <si>
    <t>701/347</t>
  </si>
  <si>
    <t>119/0</t>
  </si>
  <si>
    <t>49/73</t>
  </si>
  <si>
    <t>124/45</t>
  </si>
  <si>
    <t>230/172</t>
  </si>
  <si>
    <t>247/384</t>
  </si>
  <si>
    <t>587/153</t>
  </si>
  <si>
    <t>1601/363</t>
  </si>
  <si>
    <t>2957/1190</t>
  </si>
  <si>
    <t>4/9</t>
  </si>
  <si>
    <t>11/6</t>
  </si>
  <si>
    <t>66/2</t>
  </si>
  <si>
    <t>19/1</t>
  </si>
  <si>
    <t>79/4</t>
  </si>
  <si>
    <t>27/4</t>
  </si>
  <si>
    <t>9/9</t>
  </si>
  <si>
    <t>53/4</t>
  </si>
  <si>
    <t>62/15</t>
  </si>
  <si>
    <t>289/20</t>
  </si>
  <si>
    <t>186/25</t>
  </si>
  <si>
    <t>22 / 1</t>
  </si>
  <si>
    <t>50 / 1</t>
  </si>
  <si>
    <t>701 / 6</t>
  </si>
  <si>
    <t>14 / 0</t>
  </si>
  <si>
    <t>9 / 1</t>
  </si>
  <si>
    <t>4 / 0</t>
  </si>
  <si>
    <t>52 / 0</t>
  </si>
  <si>
    <t>13 / 1</t>
  </si>
  <si>
    <t>6 / 5</t>
  </si>
  <si>
    <t>599 / 0</t>
  </si>
  <si>
    <t>11 / 0</t>
  </si>
  <si>
    <t>136/0</t>
  </si>
  <si>
    <t>173/9</t>
  </si>
  <si>
    <t>227/171</t>
  </si>
  <si>
    <t>124/0</t>
  </si>
  <si>
    <t>77/4</t>
  </si>
  <si>
    <t>24/19</t>
  </si>
  <si>
    <t>9/24</t>
  </si>
  <si>
    <t>41/71</t>
  </si>
  <si>
    <t>76/53</t>
  </si>
  <si>
    <t>11 / 3</t>
  </si>
  <si>
    <t>108 / 70</t>
  </si>
  <si>
    <t>30 / 10</t>
  </si>
  <si>
    <t>183 / 89</t>
  </si>
  <si>
    <t>179 / 0</t>
  </si>
  <si>
    <t>104 / 58</t>
  </si>
  <si>
    <t>99 / 59</t>
  </si>
  <si>
    <t>890 / 141</t>
  </si>
  <si>
    <t>1279 / 258</t>
  </si>
  <si>
    <t>7/1</t>
  </si>
  <si>
    <t>6/72</t>
  </si>
  <si>
    <t>47/3</t>
  </si>
  <si>
    <t>183/89</t>
  </si>
  <si>
    <t>1279/258</t>
  </si>
  <si>
    <t>15/2</t>
  </si>
  <si>
    <t>2020:Q1</t>
  </si>
  <si>
    <t>Corporate</t>
  </si>
  <si>
    <t>Pan European</t>
  </si>
  <si>
    <t>Switzerland</t>
  </si>
  <si>
    <t>2020: Q1</t>
  </si>
  <si>
    <t>Cards</t>
  </si>
  <si>
    <t>SME ABS</t>
  </si>
  <si>
    <t>Consumer</t>
  </si>
  <si>
    <t>Leases</t>
  </si>
  <si>
    <t>CLO</t>
  </si>
  <si>
    <t>Pan Europe</t>
  </si>
  <si>
    <t>Public</t>
  </si>
  <si>
    <t>Private</t>
  </si>
  <si>
    <t>ABCP</t>
  </si>
  <si>
    <t>Non-ABCP</t>
  </si>
  <si>
    <t>Total*</t>
  </si>
  <si>
    <t>CLO / CDO</t>
  </si>
  <si>
    <t>Total (incl. CLO / CDO)</t>
  </si>
  <si>
    <t>Eurozone</t>
  </si>
  <si>
    <t>13 / 0</t>
  </si>
  <si>
    <t>15 / 0</t>
  </si>
  <si>
    <t>9 / 0</t>
  </si>
  <si>
    <t>18 / 0</t>
  </si>
  <si>
    <t>52/0</t>
  </si>
  <si>
    <t>28/2</t>
  </si>
  <si>
    <t>19 / 4</t>
  </si>
  <si>
    <t>34/4</t>
  </si>
  <si>
    <t>26 / 0</t>
  </si>
  <si>
    <t>82 / 4</t>
  </si>
  <si>
    <t>233/9</t>
  </si>
  <si>
    <t>561 / 65</t>
  </si>
  <si>
    <t>186 / 7</t>
  </si>
  <si>
    <t>1895/43</t>
  </si>
  <si>
    <t>20/3</t>
  </si>
  <si>
    <t>23/2</t>
  </si>
  <si>
    <t>7/73</t>
  </si>
  <si>
    <t>7/72</t>
  </si>
  <si>
    <t>17/286</t>
  </si>
  <si>
    <t>35/3</t>
  </si>
  <si>
    <t>58/11</t>
  </si>
  <si>
    <t>38/8</t>
  </si>
  <si>
    <t>118/29</t>
  </si>
  <si>
    <t>58/3</t>
  </si>
  <si>
    <t>52/3</t>
  </si>
  <si>
    <t>142/10</t>
  </si>
  <si>
    <t>244/93</t>
  </si>
  <si>
    <t>205/89</t>
  </si>
  <si>
    <t>615/342</t>
  </si>
  <si>
    <t>1813/329</t>
  </si>
  <si>
    <t>1447/258</t>
  </si>
  <si>
    <t>4630/901</t>
  </si>
  <si>
    <t>3/1</t>
  </si>
  <si>
    <t>16/0</t>
  </si>
  <si>
    <t>95/1</t>
  </si>
  <si>
    <t>261/17</t>
  </si>
  <si>
    <t>111/17</t>
  </si>
  <si>
    <t>17/18</t>
  </si>
  <si>
    <t>10/4</t>
  </si>
  <si>
    <t>460/41</t>
  </si>
  <si>
    <t>159/23</t>
  </si>
  <si>
    <t>1090/863</t>
  </si>
  <si>
    <t>443/285</t>
  </si>
  <si>
    <t>31/2</t>
  </si>
  <si>
    <t>32 / 0</t>
  </si>
  <si>
    <t>88/3</t>
  </si>
  <si>
    <t>14 / 4</t>
  </si>
  <si>
    <t>19 / 6</t>
  </si>
  <si>
    <t>14 / 6</t>
  </si>
  <si>
    <t>37/22</t>
  </si>
  <si>
    <t>31 / 0</t>
  </si>
  <si>
    <t>14 / 3</t>
  </si>
  <si>
    <t>139 / 73</t>
  </si>
  <si>
    <t>119 / 70</t>
  </si>
  <si>
    <t>382/272</t>
  </si>
  <si>
    <t>40 / 11</t>
  </si>
  <si>
    <t>34 / 10</t>
  </si>
  <si>
    <t>96/40</t>
  </si>
  <si>
    <t>244 / 93</t>
  </si>
  <si>
    <t>205 / 89</t>
  </si>
  <si>
    <t>10/9</t>
  </si>
  <si>
    <t>0/3</t>
  </si>
  <si>
    <t>7/12</t>
  </si>
  <si>
    <t>13/16</t>
  </si>
  <si>
    <t>35/2</t>
  </si>
  <si>
    <t>171/2</t>
  </si>
  <si>
    <t>104/0</t>
  </si>
  <si>
    <t>246/0</t>
  </si>
  <si>
    <t>51/4</t>
  </si>
  <si>
    <t>65 / 0</t>
  </si>
  <si>
    <t>27 / 0</t>
  </si>
  <si>
    <t>190/2</t>
  </si>
  <si>
    <t>5 / 1</t>
  </si>
  <si>
    <t>40/4</t>
  </si>
  <si>
    <t>37 / 23</t>
  </si>
  <si>
    <t>4 / 6</t>
  </si>
  <si>
    <t>133/24</t>
  </si>
  <si>
    <t>17 / 0</t>
  </si>
  <si>
    <t>421 / 41</t>
  </si>
  <si>
    <t>73 / 0</t>
  </si>
  <si>
    <t>1380/12</t>
  </si>
  <si>
    <t>68 / 1</t>
  </si>
  <si>
    <t>119/1</t>
  </si>
  <si>
    <t>271 / 0</t>
  </si>
  <si>
    <t>227 / 0</t>
  </si>
  <si>
    <t>613/0</t>
  </si>
  <si>
    <t>158 / 76</t>
  </si>
  <si>
    <t>128 / 58</t>
  </si>
  <si>
    <t>364/210</t>
  </si>
  <si>
    <t>132 / 88</t>
  </si>
  <si>
    <t>120 / 59</t>
  </si>
  <si>
    <t>362/200</t>
  </si>
  <si>
    <t>1241 / 165</t>
  </si>
  <si>
    <t>961 / 141</t>
  </si>
  <si>
    <t>3272/491</t>
  </si>
  <si>
    <t>1813 / 329</t>
  </si>
  <si>
    <t>1447 / 258</t>
  </si>
  <si>
    <t>4629/901</t>
  </si>
  <si>
    <t>92/0</t>
  </si>
  <si>
    <t>170/0</t>
  </si>
  <si>
    <t>438/5</t>
  </si>
  <si>
    <t>50/19</t>
  </si>
  <si>
    <t>116/54</t>
  </si>
  <si>
    <t>0/71</t>
  </si>
  <si>
    <t>27/33</t>
  </si>
  <si>
    <t>96/126</t>
  </si>
  <si>
    <t>24/105</t>
  </si>
  <si>
    <t>114/304</t>
  </si>
  <si>
    <t>90/118</t>
  </si>
  <si>
    <t>172/128</t>
  </si>
  <si>
    <t>326/374</t>
  </si>
  <si>
    <t>219/211</t>
  </si>
  <si>
    <t>ABS and CLO Spreads</t>
  </si>
  <si>
    <t>Czech Republic</t>
  </si>
  <si>
    <t>Euromarket</t>
  </si>
  <si>
    <t>United Kingdom</t>
  </si>
  <si>
    <t>Change</t>
  </si>
  <si>
    <t>Sweden</t>
  </si>
  <si>
    <t>H2</t>
  </si>
  <si>
    <t>H1</t>
  </si>
  <si>
    <t>Repo</t>
  </si>
  <si>
    <t xml:space="preserve">H2 </t>
  </si>
  <si>
    <t>Single- Seller</t>
  </si>
  <si>
    <t xml:space="preserve">Repo </t>
  </si>
  <si>
    <t>0/9</t>
  </si>
  <si>
    <t>57/6</t>
  </si>
  <si>
    <t>100/3</t>
  </si>
  <si>
    <t>194/18</t>
  </si>
  <si>
    <t>3/128</t>
  </si>
  <si>
    <t>53/8</t>
  </si>
  <si>
    <t>112/7</t>
  </si>
  <si>
    <t>68/137</t>
  </si>
  <si>
    <t>199/19</t>
  </si>
  <si>
    <t>9/11</t>
  </si>
  <si>
    <t>23/23</t>
  </si>
  <si>
    <t>20/45</t>
  </si>
  <si>
    <t>202/139</t>
  </si>
  <si>
    <t>483/157</t>
  </si>
  <si>
    <t>1,215/54</t>
  </si>
  <si>
    <t>1,995/418</t>
  </si>
  <si>
    <t>29/29</t>
  </si>
  <si>
    <t>8/5</t>
  </si>
  <si>
    <t>42/46</t>
  </si>
  <si>
    <t>24/75</t>
  </si>
  <si>
    <t>56/193</t>
  </si>
  <si>
    <t>574/228</t>
  </si>
  <si>
    <t>838/114</t>
  </si>
  <si>
    <t>373/47</t>
  </si>
  <si>
    <t>1,566/610</t>
  </si>
  <si>
    <t>449/137</t>
  </si>
  <si>
    <t>10/132</t>
  </si>
  <si>
    <t>67/8</t>
  </si>
  <si>
    <t>187/20</t>
  </si>
  <si>
    <t>199/9</t>
  </si>
  <si>
    <t>42/0</t>
  </si>
  <si>
    <t>518/51</t>
  </si>
  <si>
    <t>106/0</t>
  </si>
  <si>
    <t>58/37</t>
  </si>
  <si>
    <t>79/37</t>
  </si>
  <si>
    <t>155/234</t>
  </si>
  <si>
    <t>400/213</t>
  </si>
  <si>
    <t>2076/285</t>
  </si>
  <si>
    <t>2903/338</t>
  </si>
  <si>
    <t>5778/1244</t>
  </si>
  <si>
    <t>4/3</t>
  </si>
  <si>
    <t>121/9</t>
  </si>
  <si>
    <t>16/5</t>
  </si>
  <si>
    <t>159/11</t>
  </si>
  <si>
    <t>20/2</t>
  </si>
  <si>
    <t>9/3</t>
  </si>
  <si>
    <t>15/4</t>
  </si>
  <si>
    <t>31/7</t>
  </si>
  <si>
    <t>129/8</t>
  </si>
  <si>
    <t>278/20</t>
  </si>
  <si>
    <t>30/2</t>
  </si>
  <si>
    <t>518/187</t>
  </si>
  <si>
    <t xml:space="preserve">European STS Securitisation Issuance </t>
  </si>
  <si>
    <t>European STS Notifications</t>
  </si>
  <si>
    <t>2.1 Total European Historical Issuance (Placed and Retained)</t>
  </si>
  <si>
    <t>2.2 Total European Issuance by Placed and Retained</t>
  </si>
  <si>
    <t>2.3 Total European Issuance by Collateral</t>
  </si>
  <si>
    <t>2.4 US Issuance by Collateral</t>
  </si>
  <si>
    <t>2.6 Placed European Issuance by Collateral Type and Country of Collateral</t>
  </si>
  <si>
    <t>2.5 Placed Issuance by Country of Collateral</t>
  </si>
  <si>
    <t>2.7 STS Securitisation Issuance</t>
  </si>
  <si>
    <t>3.1 Total European Outstandings by Collateral Type</t>
  </si>
  <si>
    <t>3.2 Total European Outstandings by Vintage (ex-CLOs)</t>
  </si>
  <si>
    <t xml:space="preserve">3.3 Total US Outstandings by Collateral </t>
  </si>
  <si>
    <t>3.4 Total European Outstandings by Country of Collateral (ex-CLOs)</t>
  </si>
  <si>
    <t>3.5 Total European Outstandings by Country and Collateral Type (ex-CLOs)</t>
  </si>
  <si>
    <t>3.6 Europe</t>
  </si>
  <si>
    <t>3.7. US</t>
  </si>
  <si>
    <t>2.4 Total US Issuance by Collateral</t>
  </si>
  <si>
    <t>3.3 Total US Outstandings by Collateral Type</t>
  </si>
  <si>
    <t>3.6 European and US Outstandings by Rating</t>
  </si>
  <si>
    <t>5. Valuations and Spreads</t>
  </si>
  <si>
    <t>6 Asset-Backed Commercial Paper</t>
  </si>
  <si>
    <t>Total issuance includes placed and retained issued volumes.</t>
  </si>
  <si>
    <t>Total European placed issuance in tables 2.3 and 2.5 and 2.6 may show discrepancies due to the separate sources used to produce these tables, with country-level placed issuance volumes in tables 2.5 and 2.6 having minor variations to what AFME has reported prior to Q1:2020.</t>
  </si>
  <si>
    <t>Due to a change in source of European outstanding securitisation volumes from 2020:Q1 onwards, outstanding volumes in table 3.1 and 3.2 may have discrepancies with volumes AFME has reported prior to 2020:Q1.</t>
  </si>
  <si>
    <t>Note that outstanding volumes do not include outstanding CLO / CDO volumes.</t>
  </si>
  <si>
    <t>Latvia</t>
  </si>
  <si>
    <t>Poland</t>
  </si>
  <si>
    <t xml:space="preserve">H1 </t>
  </si>
  <si>
    <t>Your receipt of this document is subject to paragraphs 3, 4, 5, 9, 10, 11 and 13 of the Terms of Use which are applicable to AFME’s website (available at https://www.afme.eu/About-Us/Terms-of-use) and, for the purposes of such Terms of Use, this document shall be considered a “Material” (regardless of whether you have received or accessed it via AFME’s website or otherwise).</t>
  </si>
  <si>
    <t xml:space="preserve">Due to a change in sources of securitisation issuance data used in this report affecting European volumes issued from 2020:Q1 onwards, collateral types now include a “Corporate” category from 2020:Q1, while no longer including the WBS/PFI category. </t>
  </si>
  <si>
    <t>Historical issuance (reported prior to 2020:Q1) continues to use prior sources.</t>
  </si>
  <si>
    <t>2020:Q2</t>
  </si>
  <si>
    <t>2020: Q2</t>
  </si>
  <si>
    <t>10/75</t>
  </si>
  <si>
    <t>58/6</t>
  </si>
  <si>
    <t>31/15</t>
  </si>
  <si>
    <t>247/123</t>
  </si>
  <si>
    <t>1816/666</t>
  </si>
  <si>
    <t>3/13</t>
  </si>
  <si>
    <t>2/5</t>
  </si>
  <si>
    <t>2/28</t>
  </si>
  <si>
    <t>4/6</t>
  </si>
  <si>
    <t>11/40</t>
  </si>
  <si>
    <t>79/404</t>
  </si>
  <si>
    <t>0 / 2</t>
  </si>
  <si>
    <t>0 / 5</t>
  </si>
  <si>
    <t>2 / 5</t>
  </si>
  <si>
    <t>10 / 12</t>
  </si>
  <si>
    <t>19 / 86</t>
  </si>
  <si>
    <t>19 / 7</t>
  </si>
  <si>
    <t>31 / 15</t>
  </si>
  <si>
    <t>142 / 82</t>
  </si>
  <si>
    <t>40 / 13</t>
  </si>
  <si>
    <t>247 / 123</t>
  </si>
  <si>
    <t>158 / 104</t>
  </si>
  <si>
    <t>132 / 117</t>
  </si>
  <si>
    <t>1244 / 445</t>
  </si>
  <si>
    <t>1816 / 666</t>
  </si>
  <si>
    <t>0/27</t>
  </si>
  <si>
    <t>5/6</t>
  </si>
  <si>
    <t>0/19</t>
  </si>
  <si>
    <t>1/36</t>
  </si>
  <si>
    <t>1/200</t>
  </si>
  <si>
    <t>52/149</t>
  </si>
  <si>
    <t>0 / 12</t>
  </si>
  <si>
    <t>0 / 47</t>
  </si>
  <si>
    <t>0 / 31</t>
  </si>
  <si>
    <t>11 / 7</t>
  </si>
  <si>
    <t>0 / 1</t>
  </si>
  <si>
    <t>2020:Q3</t>
  </si>
  <si>
    <t>2020:Q4</t>
  </si>
  <si>
    <t>1/3</t>
  </si>
  <si>
    <t>8/81</t>
  </si>
  <si>
    <t>1/32</t>
  </si>
  <si>
    <t>5/36</t>
  </si>
  <si>
    <t>4/15</t>
  </si>
  <si>
    <t>27/175</t>
  </si>
  <si>
    <t>56/199</t>
  </si>
  <si>
    <t>0/5</t>
  </si>
  <si>
    <t>7/10</t>
  </si>
  <si>
    <t>11/32</t>
  </si>
  <si>
    <t>0/44</t>
  </si>
  <si>
    <t>2/63</t>
  </si>
  <si>
    <t>3/11</t>
  </si>
  <si>
    <t>8/44</t>
  </si>
  <si>
    <t>8/24</t>
  </si>
  <si>
    <t>34/17</t>
  </si>
  <si>
    <t>6/97</t>
  </si>
  <si>
    <t>0/16</t>
  </si>
  <si>
    <t>2020: Q3</t>
  </si>
  <si>
    <t>6/1</t>
  </si>
  <si>
    <t>11/83</t>
  </si>
  <si>
    <t>59/14</t>
  </si>
  <si>
    <t>60/10</t>
  </si>
  <si>
    <t>31/31</t>
  </si>
  <si>
    <t>255/164</t>
  </si>
  <si>
    <t>1827/926</t>
  </si>
  <si>
    <t>271 / 5</t>
  </si>
  <si>
    <t>169 / 299</t>
  </si>
  <si>
    <t>132 / 159</t>
  </si>
  <si>
    <t>1244 / 463</t>
  </si>
  <si>
    <t>1827 / 926</t>
  </si>
  <si>
    <t>23 / 8</t>
  </si>
  <si>
    <t>31 / 31</t>
  </si>
  <si>
    <t>144 / 90</t>
  </si>
  <si>
    <t>42 / 29</t>
  </si>
  <si>
    <t>255 / 164</t>
  </si>
  <si>
    <t>0/2</t>
  </si>
  <si>
    <t>6/13</t>
  </si>
  <si>
    <t>3/21</t>
  </si>
  <si>
    <t>11/36</t>
  </si>
  <si>
    <t>122/941</t>
  </si>
  <si>
    <t>3/22</t>
  </si>
  <si>
    <t>1/10</t>
  </si>
  <si>
    <t>92/9</t>
  </si>
  <si>
    <t>5/474</t>
  </si>
  <si>
    <t>0/208</t>
  </si>
  <si>
    <t>2/230</t>
  </si>
  <si>
    <t>23/20</t>
  </si>
  <si>
    <t>7 / 7</t>
  </si>
  <si>
    <t>2 / 3</t>
  </si>
  <si>
    <t>10 / 9</t>
  </si>
  <si>
    <t>29 / 19</t>
  </si>
  <si>
    <t>54 / 14</t>
  </si>
  <si>
    <t>2 / 1</t>
  </si>
  <si>
    <t>10 / 8</t>
  </si>
  <si>
    <t>9 / 2</t>
  </si>
  <si>
    <t>4 / 1</t>
  </si>
  <si>
    <t>3 / 7</t>
  </si>
  <si>
    <t>31 / 19</t>
  </si>
  <si>
    <t>39 / 0</t>
  </si>
  <si>
    <t>6 / 10</t>
  </si>
  <si>
    <t>4 / 4</t>
  </si>
  <si>
    <t>6/11</t>
  </si>
  <si>
    <t>5/23</t>
  </si>
  <si>
    <t>18/52</t>
  </si>
  <si>
    <t>73/215</t>
  </si>
  <si>
    <t>6/25</t>
  </si>
  <si>
    <t>1/19</t>
  </si>
  <si>
    <t>4/19</t>
  </si>
  <si>
    <t>5/7</t>
  </si>
  <si>
    <t>7/119</t>
  </si>
  <si>
    <t>9/17</t>
  </si>
  <si>
    <t>25/38</t>
  </si>
  <si>
    <t>2020: Q4</t>
  </si>
  <si>
    <t>18/1</t>
  </si>
  <si>
    <t>72/14</t>
  </si>
  <si>
    <t>74/15</t>
  </si>
  <si>
    <t>48/33</t>
  </si>
  <si>
    <t>305/182</t>
  </si>
  <si>
    <t>1951/995</t>
  </si>
  <si>
    <t>1/5</t>
  </si>
  <si>
    <t>7/15</t>
  </si>
  <si>
    <t>4/7</t>
  </si>
  <si>
    <t>45/27</t>
  </si>
  <si>
    <t>162/302</t>
  </si>
  <si>
    <t>3 / 1</t>
  </si>
  <si>
    <t>8 / 10</t>
  </si>
  <si>
    <t>7 / 9</t>
  </si>
  <si>
    <t>16 / 35</t>
  </si>
  <si>
    <t>3 / 6</t>
  </si>
  <si>
    <t>39 / 61</t>
  </si>
  <si>
    <t>250 / 133</t>
  </si>
  <si>
    <t>8/3</t>
  </si>
  <si>
    <t>7/8</t>
  </si>
  <si>
    <t>18/19</t>
  </si>
  <si>
    <t>55/40</t>
  </si>
  <si>
    <t>153/307</t>
  </si>
  <si>
    <t>4/34</t>
  </si>
  <si>
    <t>12/6</t>
  </si>
  <si>
    <t>17/94</t>
  </si>
  <si>
    <t>26/9</t>
  </si>
  <si>
    <t>48/51</t>
  </si>
  <si>
    <t>147/75</t>
  </si>
  <si>
    <t>25/39</t>
  </si>
  <si>
    <t>294/285</t>
  </si>
  <si>
    <t>2277/1139</t>
  </si>
  <si>
    <t>5 / 3</t>
  </si>
  <si>
    <t>31 / 17</t>
  </si>
  <si>
    <t>21 / 12</t>
  </si>
  <si>
    <t>28 / 49</t>
  </si>
  <si>
    <t>11 / 11</t>
  </si>
  <si>
    <t>104 / 92</t>
  </si>
  <si>
    <t>884 / 298</t>
  </si>
  <si>
    <t>47/7</t>
  </si>
  <si>
    <t>28/59</t>
  </si>
  <si>
    <t>16/35</t>
  </si>
  <si>
    <t>118/107</t>
  </si>
  <si>
    <t>582/1858</t>
  </si>
  <si>
    <t>22/4</t>
  </si>
  <si>
    <t>52/5</t>
  </si>
  <si>
    <t>39/314</t>
  </si>
  <si>
    <t>66/4</t>
  </si>
  <si>
    <t>247/50</t>
  </si>
  <si>
    <t>250/34</t>
  </si>
  <si>
    <t>141/79</t>
  </si>
  <si>
    <t>1051/562</t>
  </si>
  <si>
    <t>7407/2916</t>
  </si>
  <si>
    <t>27 / 8</t>
  </si>
  <si>
    <t>48 / 33</t>
  </si>
  <si>
    <t>16 / 10</t>
  </si>
  <si>
    <t>1 / 1</t>
  </si>
  <si>
    <t>164 / 100</t>
  </si>
  <si>
    <t>49 / 30</t>
  </si>
  <si>
    <t>305 / 182</t>
  </si>
  <si>
    <t>361 / 11</t>
  </si>
  <si>
    <t>192 / 322</t>
  </si>
  <si>
    <t>133 / 184</t>
  </si>
  <si>
    <t>1254 / 478</t>
  </si>
  <si>
    <t>1951 / 995</t>
  </si>
  <si>
    <t>4/8</t>
  </si>
  <si>
    <t>20/37</t>
  </si>
  <si>
    <t>0/18</t>
  </si>
  <si>
    <t>1/58</t>
  </si>
  <si>
    <t>63/8</t>
  </si>
  <si>
    <t>20/4</t>
  </si>
  <si>
    <t>152/0</t>
  </si>
  <si>
    <t>361/9</t>
  </si>
  <si>
    <t>5/10</t>
  </si>
  <si>
    <t>10/503</t>
  </si>
  <si>
    <t>0/126</t>
  </si>
  <si>
    <t>1/441</t>
  </si>
  <si>
    <t>2/93</t>
  </si>
  <si>
    <t>42/545</t>
  </si>
  <si>
    <t>3/73</t>
  </si>
  <si>
    <t>168/360</t>
  </si>
  <si>
    <t>4 / 9</t>
  </si>
  <si>
    <t>0 / 22</t>
  </si>
  <si>
    <t>11 / 18</t>
  </si>
  <si>
    <t>10 / 6</t>
  </si>
  <si>
    <t>1 / 6</t>
  </si>
  <si>
    <t>51 / 0</t>
  </si>
  <si>
    <t>11 / 1</t>
  </si>
  <si>
    <t>37 / 107</t>
  </si>
  <si>
    <t>38 / 0</t>
  </si>
  <si>
    <t>103 / 18</t>
  </si>
  <si>
    <t>10 / 7</t>
  </si>
  <si>
    <t>4/1</t>
  </si>
  <si>
    <t>13/9</t>
  </si>
  <si>
    <t>17/4</t>
  </si>
  <si>
    <t>5/170</t>
  </si>
  <si>
    <t>8/4</t>
  </si>
  <si>
    <t>123/94</t>
  </si>
  <si>
    <t>88 / 29</t>
  </si>
  <si>
    <t>141 / 79</t>
  </si>
  <si>
    <t>58 / 25</t>
  </si>
  <si>
    <t>589 / 345</t>
  </si>
  <si>
    <t>171 / 83</t>
  </si>
  <si>
    <t>1051 / 562</t>
  </si>
  <si>
    <t>1174 /16</t>
  </si>
  <si>
    <t>667 / 801</t>
  </si>
  <si>
    <t>529 / 548</t>
  </si>
  <si>
    <t>44 / 0</t>
  </si>
  <si>
    <t>4983 / 1551</t>
  </si>
  <si>
    <t>7407 / 2916</t>
  </si>
  <si>
    <t>12 / 10</t>
  </si>
  <si>
    <t>0 / 34</t>
  </si>
  <si>
    <t>32 / 26</t>
  </si>
  <si>
    <t>25 / 8</t>
  </si>
  <si>
    <t>8 / 13</t>
  </si>
  <si>
    <t>106 / 92</t>
  </si>
  <si>
    <t>155 / 0</t>
  </si>
  <si>
    <t>16 / 33</t>
  </si>
  <si>
    <t>91/ 147</t>
  </si>
  <si>
    <t>60 / 0</t>
  </si>
  <si>
    <t>532 / 59</t>
  </si>
  <si>
    <t>30 /12</t>
  </si>
  <si>
    <t>27/7</t>
  </si>
  <si>
    <t>1/6</t>
  </si>
  <si>
    <t>37/58</t>
  </si>
  <si>
    <t>15/11</t>
  </si>
  <si>
    <t>0/72</t>
  </si>
  <si>
    <t>73/97</t>
  </si>
  <si>
    <t>122/25</t>
  </si>
  <si>
    <t>19/9</t>
  </si>
  <si>
    <t>72/44</t>
  </si>
  <si>
    <t>38/77</t>
  </si>
  <si>
    <t>62/52</t>
  </si>
  <si>
    <t>38/431</t>
  </si>
  <si>
    <t>211/156</t>
  </si>
  <si>
    <t>493/192</t>
  </si>
  <si>
    <t>1363/187</t>
  </si>
  <si>
    <t>592 / 89</t>
  </si>
  <si>
    <t>68 / 0</t>
  </si>
  <si>
    <t>51 / 42</t>
  </si>
  <si>
    <t>62 / 33</t>
  </si>
  <si>
    <t>773 / 164</t>
  </si>
  <si>
    <t>1 / 4</t>
  </si>
  <si>
    <t>67 / 64</t>
  </si>
  <si>
    <t>15 / 10</t>
  </si>
  <si>
    <t>91 / 79</t>
  </si>
  <si>
    <t>2021:Q1</t>
  </si>
  <si>
    <t>2021: Q1</t>
  </si>
  <si>
    <t>18/83</t>
  </si>
  <si>
    <t>81/14</t>
  </si>
  <si>
    <t>88/19</t>
  </si>
  <si>
    <t>84/33</t>
  </si>
  <si>
    <t>379/188</t>
  </si>
  <si>
    <t>2091/1045</t>
  </si>
  <si>
    <t>77/1</t>
  </si>
  <si>
    <t>2/23</t>
  </si>
  <si>
    <t>88/29</t>
  </si>
  <si>
    <t>116/145</t>
  </si>
  <si>
    <t>8 / 12</t>
  </si>
  <si>
    <t>27 / 12</t>
  </si>
  <si>
    <t>256 / 184</t>
  </si>
  <si>
    <t>28 / 8</t>
  </si>
  <si>
    <t>84 / 33</t>
  </si>
  <si>
    <t>16 / 12</t>
  </si>
  <si>
    <t>185 / 100</t>
  </si>
  <si>
    <t>65 / 34</t>
  </si>
  <si>
    <t>379 / 188</t>
  </si>
  <si>
    <t>388 / 11</t>
  </si>
  <si>
    <t>287 / 323</t>
  </si>
  <si>
    <t>139 / 217</t>
  </si>
  <si>
    <t>1266 / 494</t>
  </si>
  <si>
    <t>2091 / 1045</t>
  </si>
  <si>
    <t>0/23</t>
  </si>
  <si>
    <t>79/1</t>
  </si>
  <si>
    <t>99/0</t>
  </si>
  <si>
    <t>0/39</t>
  </si>
  <si>
    <t>3/62</t>
  </si>
  <si>
    <t>12/40</t>
  </si>
  <si>
    <t>0 / 7</t>
  </si>
  <si>
    <t>7 / 4</t>
  </si>
  <si>
    <t>81 / 1</t>
  </si>
  <si>
    <t>14 / 183</t>
  </si>
  <si>
    <t>140 / 0</t>
  </si>
  <si>
    <t>32/2</t>
  </si>
  <si>
    <t>7/9</t>
  </si>
  <si>
    <t>78/11</t>
  </si>
  <si>
    <t>6/194</t>
  </si>
  <si>
    <t>391/191</t>
  </si>
  <si>
    <t>978/77</t>
  </si>
  <si>
    <t>306/63</t>
  </si>
  <si>
    <t>1,807/545</t>
  </si>
  <si>
    <t>8/2</t>
  </si>
  <si>
    <t>2021:Q2</t>
  </si>
  <si>
    <t>2021: Q2</t>
  </si>
  <si>
    <t>`</t>
  </si>
  <si>
    <t>19/86</t>
  </si>
  <si>
    <t>105/14</t>
  </si>
  <si>
    <t>89/21</t>
  </si>
  <si>
    <t>89/33</t>
  </si>
  <si>
    <t>2245/1109</t>
  </si>
  <si>
    <t>415/193</t>
  </si>
  <si>
    <t>32 / 3</t>
  </si>
  <si>
    <t>56 / 1</t>
  </si>
  <si>
    <t>2 / 2</t>
  </si>
  <si>
    <t>123 / 8</t>
  </si>
  <si>
    <t>224 / 79</t>
  </si>
  <si>
    <t>9/8</t>
  </si>
  <si>
    <t>47/0</t>
  </si>
  <si>
    <t>83/10</t>
  </si>
  <si>
    <t>618/151</t>
  </si>
  <si>
    <t>31 / 8</t>
  </si>
  <si>
    <t>89 / 33</t>
  </si>
  <si>
    <t>16 / 13</t>
  </si>
  <si>
    <t>212 / 100</t>
  </si>
  <si>
    <t>66 / 38</t>
  </si>
  <si>
    <t>415 / 193</t>
  </si>
  <si>
    <t>442 / 11</t>
  </si>
  <si>
    <t>326 / 328</t>
  </si>
  <si>
    <t>146 / 266</t>
  </si>
  <si>
    <t>1320 / 504</t>
  </si>
  <si>
    <t>2245 / 1109</t>
  </si>
  <si>
    <t>55/2</t>
  </si>
  <si>
    <t>127/0</t>
  </si>
  <si>
    <t>17/7</t>
  </si>
  <si>
    <t>73/20</t>
  </si>
  <si>
    <t>0 / 4</t>
  </si>
  <si>
    <t>61 / 0</t>
  </si>
  <si>
    <t>6 / 3</t>
  </si>
  <si>
    <t>40 / 0</t>
  </si>
  <si>
    <t>29 / 6</t>
  </si>
  <si>
    <t>28 / 64</t>
  </si>
  <si>
    <t>117 / 8</t>
  </si>
  <si>
    <t>7 / 1</t>
  </si>
  <si>
    <t>50/0</t>
  </si>
  <si>
    <t>17/11</t>
  </si>
  <si>
    <t>27/128</t>
  </si>
  <si>
    <t>265/6</t>
  </si>
  <si>
    <t>243/6</t>
  </si>
  <si>
    <t>Number of STS notifications to ESMA</t>
  </si>
  <si>
    <t>2.3 Total European Issuance by Collateral*</t>
  </si>
  <si>
    <t>2021:Q3</t>
  </si>
  <si>
    <t>2021: Q3</t>
  </si>
  <si>
    <t>20/87</t>
  </si>
  <si>
    <t>28/3</t>
  </si>
  <si>
    <t>135/15</t>
  </si>
  <si>
    <t>137/21</t>
  </si>
  <si>
    <t>114/34</t>
  </si>
  <si>
    <t>554/197</t>
  </si>
  <si>
    <t>2410/1125</t>
  </si>
  <si>
    <t>47/2</t>
  </si>
  <si>
    <t>32/4</t>
  </si>
  <si>
    <t>217/155</t>
  </si>
  <si>
    <t>352/149</t>
  </si>
  <si>
    <t>13 / 3</t>
  </si>
  <si>
    <t>29 / 3</t>
  </si>
  <si>
    <t>317 / 65</t>
  </si>
  <si>
    <t>27/1</t>
  </si>
  <si>
    <t>112/10</t>
  </si>
  <si>
    <t>50/4</t>
  </si>
  <si>
    <t>57/0</t>
  </si>
  <si>
    <t>260/16</t>
  </si>
  <si>
    <t>43/11</t>
  </si>
  <si>
    <t>60/0</t>
  </si>
  <si>
    <t>111/4</t>
  </si>
  <si>
    <t>681/173</t>
  </si>
  <si>
    <t>35/0</t>
  </si>
  <si>
    <t>27/6</t>
  </si>
  <si>
    <t>32/5</t>
  </si>
  <si>
    <t>11/162</t>
  </si>
  <si>
    <t>576/0</t>
  </si>
  <si>
    <t>4 / 3</t>
  </si>
  <si>
    <t>41 / 3</t>
  </si>
  <si>
    <t>53 / 50</t>
  </si>
  <si>
    <t>19 / 1</t>
  </si>
  <si>
    <t>157 / 14</t>
  </si>
  <si>
    <t>40 / 8</t>
  </si>
  <si>
    <t>114 / 34</t>
  </si>
  <si>
    <t>19 / 13</t>
  </si>
  <si>
    <t>264 / 101</t>
  </si>
  <si>
    <t>116 / 40</t>
  </si>
  <si>
    <t>554 / 197</t>
  </si>
  <si>
    <t>479 / 11</t>
  </si>
  <si>
    <t>379 / 330</t>
  </si>
  <si>
    <t>151 / 276</t>
  </si>
  <si>
    <t>1390 / 508</t>
  </si>
  <si>
    <t>2410 / 1125</t>
  </si>
  <si>
    <t>25/2</t>
  </si>
  <si>
    <t>0/46</t>
  </si>
  <si>
    <t>1/74</t>
  </si>
  <si>
    <t>207/27</t>
  </si>
  <si>
    <t>0/116</t>
  </si>
  <si>
    <t>STS Issuance prior to the regulation coming into force (1 Jan 2019) is due to legacy transactions being notified as STS to ESMA.</t>
  </si>
  <si>
    <t>2021:Q4</t>
  </si>
  <si>
    <t>2021: Q4</t>
  </si>
  <si>
    <t>27/90</t>
  </si>
  <si>
    <t>136/15</t>
  </si>
  <si>
    <t>159/21</t>
  </si>
  <si>
    <t>129/34</t>
  </si>
  <si>
    <t>607/200</t>
  </si>
  <si>
    <t>2652/1144</t>
  </si>
  <si>
    <t>129 / 34</t>
  </si>
  <si>
    <t>279 / 101</t>
  </si>
  <si>
    <t>139 / 43</t>
  </si>
  <si>
    <t>607 / 200</t>
  </si>
  <si>
    <t>527 / 11</t>
  </si>
  <si>
    <t>414 / 332</t>
  </si>
  <si>
    <t>162 / 285</t>
  </si>
  <si>
    <t>1538 / 516</t>
  </si>
  <si>
    <t>2652 / 1144</t>
  </si>
  <si>
    <t>670/71</t>
  </si>
  <si>
    <t>4/27</t>
  </si>
  <si>
    <t>137/3</t>
  </si>
  <si>
    <t>203/35</t>
  </si>
  <si>
    <t>129/3</t>
  </si>
  <si>
    <t>41/27</t>
  </si>
  <si>
    <t>1355/520</t>
  </si>
  <si>
    <t>238/0</t>
  </si>
  <si>
    <t>583/0</t>
  </si>
  <si>
    <t>214/4</t>
  </si>
  <si>
    <t>256/17</t>
  </si>
  <si>
    <t>5/41</t>
  </si>
  <si>
    <t>5/138</t>
  </si>
  <si>
    <t>6/5</t>
  </si>
  <si>
    <t>10/257</t>
  </si>
  <si>
    <t>207/21</t>
  </si>
  <si>
    <t>499/108</t>
  </si>
  <si>
    <t>30 / 0</t>
  </si>
  <si>
    <t>19 / 0</t>
  </si>
  <si>
    <t>803 / 61</t>
  </si>
  <si>
    <t>29 / 0</t>
  </si>
  <si>
    <t>25 / 0</t>
  </si>
  <si>
    <t>1 / 3</t>
  </si>
  <si>
    <t>81 / 4</t>
  </si>
  <si>
    <t>59 / 0</t>
  </si>
  <si>
    <t>24 / 0</t>
  </si>
  <si>
    <t>53 / 43</t>
  </si>
  <si>
    <t>634 / 18</t>
  </si>
  <si>
    <t>69/0</t>
  </si>
  <si>
    <t>37/0</t>
  </si>
  <si>
    <t>69/4</t>
  </si>
  <si>
    <t>493/6</t>
  </si>
  <si>
    <t>1,290/116</t>
  </si>
  <si>
    <t>287/1</t>
  </si>
  <si>
    <t>113/1</t>
  </si>
  <si>
    <t>49/4</t>
  </si>
  <si>
    <t>44/0</t>
  </si>
  <si>
    <t>20/16</t>
  </si>
  <si>
    <t>84/1</t>
  </si>
  <si>
    <t>17/99</t>
  </si>
  <si>
    <t>1,125/0</t>
  </si>
  <si>
    <t>139 / 32</t>
  </si>
  <si>
    <t>416 / 134</t>
  </si>
  <si>
    <t>70 / 51</t>
  </si>
  <si>
    <t>940 / 402</t>
  </si>
  <si>
    <t>386 / 115</t>
  </si>
  <si>
    <t>1955 / 778</t>
  </si>
  <si>
    <t>1836 / 44</t>
  </si>
  <si>
    <t>1406 / 1313</t>
  </si>
  <si>
    <t>598 / 1044</t>
  </si>
  <si>
    <t>5514 / 2022</t>
  </si>
  <si>
    <t>9398 / 4423</t>
  </si>
  <si>
    <t>42 / 1</t>
  </si>
  <si>
    <t>23 / 2</t>
  </si>
  <si>
    <t>9 / 11</t>
  </si>
  <si>
    <t>233 / 0</t>
  </si>
  <si>
    <t>117 / 0</t>
  </si>
  <si>
    <t>18 / 13</t>
  </si>
  <si>
    <t>272 / 27</t>
  </si>
  <si>
    <t>240 / 1</t>
  </si>
  <si>
    <t>68 / 6</t>
  </si>
  <si>
    <t>148 / 340</t>
  </si>
  <si>
    <t>39 / 1</t>
  </si>
  <si>
    <t>1048 / 40</t>
  </si>
  <si>
    <t>57 / 0</t>
  </si>
  <si>
    <t>1600 / 389</t>
  </si>
  <si>
    <t>37 / 0</t>
  </si>
  <si>
    <t>1 / 2</t>
  </si>
  <si>
    <t>34 / 0</t>
  </si>
  <si>
    <t>379 / 2</t>
  </si>
  <si>
    <t xml:space="preserve">8 / 7 </t>
  </si>
  <si>
    <t>243 / 15</t>
  </si>
  <si>
    <t>103 / 8</t>
  </si>
  <si>
    <t>63 / 0</t>
  </si>
  <si>
    <t>868 / 34</t>
  </si>
  <si>
    <t>136 / 0</t>
  </si>
  <si>
    <t>71 / 42</t>
  </si>
  <si>
    <t>244 / 17</t>
  </si>
  <si>
    <t>61 / 583</t>
  </si>
  <si>
    <t>656 / 197</t>
  </si>
  <si>
    <t>978 / 77</t>
  </si>
  <si>
    <t>2250 / 69</t>
  </si>
  <si>
    <t>4396 / 985</t>
  </si>
  <si>
    <t>41/1</t>
  </si>
  <si>
    <t>77/8</t>
  </si>
  <si>
    <t>84/346</t>
  </si>
  <si>
    <t>101/12</t>
  </si>
  <si>
    <t>457/58</t>
  </si>
  <si>
    <t>473/82</t>
  </si>
  <si>
    <t>416/134</t>
  </si>
  <si>
    <t>83 / 18</t>
  </si>
  <si>
    <t>74 / 1</t>
  </si>
  <si>
    <t>22 / 2</t>
  </si>
  <si>
    <t>35 / 3</t>
  </si>
  <si>
    <t>92/2</t>
  </si>
  <si>
    <t>83/11</t>
  </si>
  <si>
    <t>109/3</t>
  </si>
  <si>
    <t>195/16</t>
  </si>
  <si>
    <t>349/0</t>
  </si>
  <si>
    <t>2022:Q1</t>
  </si>
  <si>
    <t>2022: Q1</t>
  </si>
  <si>
    <t xml:space="preserve">For Q1 2022, European issuance volumes (ex-CLOs) are sourced from JP Morgan, with CLO issuance volume data sourced from Bank of America. </t>
  </si>
  <si>
    <t>2015 - 2020</t>
  </si>
  <si>
    <t>EU Total</t>
  </si>
  <si>
    <t>34/90</t>
  </si>
  <si>
    <t>35/5</t>
  </si>
  <si>
    <t>145/15</t>
  </si>
  <si>
    <t>173/25</t>
  </si>
  <si>
    <t>165/34</t>
  </si>
  <si>
    <t>681/206</t>
  </si>
  <si>
    <t>2792/1178</t>
  </si>
  <si>
    <t>41 / 8</t>
  </si>
  <si>
    <t>165 / 34</t>
  </si>
  <si>
    <t>19 / 15</t>
  </si>
  <si>
    <t>300 / 101</t>
  </si>
  <si>
    <t>155 / 47</t>
  </si>
  <si>
    <t>681 / 206</t>
  </si>
  <si>
    <t>554 / 11</t>
  </si>
  <si>
    <t>509 / 333</t>
  </si>
  <si>
    <t>168 / 318</t>
  </si>
  <si>
    <t>1550 / 516</t>
  </si>
  <si>
    <t>2792 / 1178</t>
  </si>
  <si>
    <t>23/1</t>
  </si>
  <si>
    <t>26/5</t>
  </si>
  <si>
    <t>66/6</t>
  </si>
  <si>
    <t>415/55</t>
  </si>
  <si>
    <t>30/1</t>
  </si>
  <si>
    <t>117/0</t>
  </si>
  <si>
    <t>6/3</t>
  </si>
  <si>
    <t>154/11</t>
  </si>
  <si>
    <t>35/35</t>
  </si>
  <si>
    <t>103/6</t>
  </si>
  <si>
    <t>28 / 0</t>
  </si>
  <si>
    <t>81 / 3</t>
  </si>
  <si>
    <t>1129 / 90</t>
  </si>
  <si>
    <t>53 / 0</t>
  </si>
  <si>
    <t>38 / 3</t>
  </si>
  <si>
    <t>62 / 64</t>
  </si>
  <si>
    <t>1000 / 23</t>
  </si>
  <si>
    <t>2019-2022</t>
  </si>
  <si>
    <t>27/26</t>
  </si>
  <si>
    <t>325/0</t>
  </si>
  <si>
    <t>394/32</t>
  </si>
  <si>
    <t>2,872/266</t>
  </si>
  <si>
    <t>333/0</t>
  </si>
  <si>
    <t>3/14</t>
  </si>
  <si>
    <t>12/2</t>
  </si>
  <si>
    <t>12/15</t>
  </si>
  <si>
    <t>53/0</t>
  </si>
  <si>
    <t>9/2</t>
  </si>
  <si>
    <t>127/2</t>
  </si>
  <si>
    <t>34/62</t>
  </si>
  <si>
    <t>504/92</t>
  </si>
  <si>
    <t>1,483/44</t>
  </si>
  <si>
    <t>662/64</t>
  </si>
  <si>
    <t>2022:Q2</t>
  </si>
  <si>
    <t>2022: Q2</t>
  </si>
  <si>
    <t>15/1</t>
  </si>
  <si>
    <t>27/3</t>
  </si>
  <si>
    <t>34/93</t>
  </si>
  <si>
    <t>155/16</t>
  </si>
  <si>
    <t>182/25</t>
  </si>
  <si>
    <t>193/35</t>
  </si>
  <si>
    <t>734/212</t>
  </si>
  <si>
    <t>3000/1232</t>
  </si>
  <si>
    <t>48 / 9</t>
  </si>
  <si>
    <t>193 / 35</t>
  </si>
  <si>
    <t>21 / 15</t>
  </si>
  <si>
    <t>310 / 103</t>
  </si>
  <si>
    <t>160 / 49</t>
  </si>
  <si>
    <t>734 / 212</t>
  </si>
  <si>
    <t>596 / 11</t>
  </si>
  <si>
    <t>552 / 333</t>
  </si>
  <si>
    <t>172 / 336</t>
  </si>
  <si>
    <t>1669 / 552</t>
  </si>
  <si>
    <t>3000 / 1232</t>
  </si>
  <si>
    <t>254/185</t>
  </si>
  <si>
    <t>21/2</t>
  </si>
  <si>
    <t>51/0</t>
  </si>
  <si>
    <t>75/1</t>
  </si>
  <si>
    <t>5/128</t>
  </si>
  <si>
    <t>14/23</t>
  </si>
  <si>
    <t>109/33</t>
  </si>
  <si>
    <t>10 / 5</t>
  </si>
  <si>
    <t>88 / 11</t>
  </si>
  <si>
    <t>771 / 41</t>
  </si>
  <si>
    <t>4 / 5</t>
  </si>
  <si>
    <t>43 / 1</t>
  </si>
  <si>
    <t>88 / 9</t>
  </si>
  <si>
    <t>46 / 0</t>
  </si>
  <si>
    <t>80 / 31</t>
  </si>
  <si>
    <t>596 / 8</t>
  </si>
  <si>
    <t>4 / 2</t>
  </si>
  <si>
    <t>2022:Q3</t>
  </si>
  <si>
    <t>2022: Q3</t>
  </si>
  <si>
    <t>34/96</t>
  </si>
  <si>
    <t>49/5</t>
  </si>
  <si>
    <t>156/16</t>
  </si>
  <si>
    <t>193/25</t>
  </si>
  <si>
    <t>212/37</t>
  </si>
  <si>
    <t>782/218</t>
  </si>
  <si>
    <t>3078/1244</t>
  </si>
  <si>
    <t>46/14</t>
  </si>
  <si>
    <t>82/14</t>
  </si>
  <si>
    <t>469/77</t>
  </si>
  <si>
    <t>18 / 7</t>
  </si>
  <si>
    <t>24 / 2</t>
  </si>
  <si>
    <t>102 / 10</t>
  </si>
  <si>
    <t>581 / 30</t>
  </si>
  <si>
    <t>10/1</t>
  </si>
  <si>
    <t>21/4</t>
  </si>
  <si>
    <t>41/9</t>
  </si>
  <si>
    <t>105/1</t>
  </si>
  <si>
    <t>237/8</t>
  </si>
  <si>
    <t>1,242/85</t>
  </si>
  <si>
    <t>406/85</t>
  </si>
  <si>
    <t>212 / 37</t>
  </si>
  <si>
    <t>21 / 17</t>
  </si>
  <si>
    <t>326 / 103</t>
  </si>
  <si>
    <t>173 / 51</t>
  </si>
  <si>
    <t>782 / 218</t>
  </si>
  <si>
    <t>607 / 11</t>
  </si>
  <si>
    <t>574 / 334</t>
  </si>
  <si>
    <t>173 / 345</t>
  </si>
  <si>
    <t>1713 / 554</t>
  </si>
  <si>
    <t>3078 / 1244</t>
  </si>
  <si>
    <t>0/14</t>
  </si>
  <si>
    <t>174/6</t>
  </si>
  <si>
    <t>4/4</t>
  </si>
  <si>
    <t>6/32</t>
  </si>
  <si>
    <t>8/8</t>
  </si>
  <si>
    <t>277/27</t>
  </si>
  <si>
    <t>16 / 1</t>
  </si>
  <si>
    <t>10 / 2</t>
  </si>
  <si>
    <t>16 / 2</t>
  </si>
  <si>
    <t>21 / 0</t>
  </si>
  <si>
    <t>17 / 5</t>
  </si>
  <si>
    <t>56 / 0</t>
  </si>
  <si>
    <t>109 / 23</t>
  </si>
  <si>
    <t>378 / 7</t>
  </si>
  <si>
    <t>53/1</t>
  </si>
  <si>
    <t>63/6</t>
  </si>
  <si>
    <t>7/6</t>
  </si>
  <si>
    <t>66/0</t>
  </si>
  <si>
    <t>45/0</t>
  </si>
  <si>
    <t>73/2</t>
  </si>
  <si>
    <t>51/75</t>
  </si>
  <si>
    <t>18/78</t>
  </si>
  <si>
    <t>199/4</t>
  </si>
  <si>
    <t>1,086/2</t>
  </si>
  <si>
    <t>2.8 STS Securitisation Issuance by Placed and Retained</t>
  </si>
  <si>
    <t>EU STS</t>
  </si>
  <si>
    <t>UK STS</t>
  </si>
  <si>
    <t>Collateral type categorisation has been subject to change due to the new reporting format. Outstanding European volumes by vintage in table 3.2 may show discrepancies with issuance volumes reported due to different sources of data.</t>
  </si>
  <si>
    <t>Complete US outstanding data only available up to 2021:Q4.</t>
  </si>
  <si>
    <t>EU total' category includes EU countries and 'other Europe', excluding the UK and Switzerland.</t>
  </si>
  <si>
    <t>2022:Q4</t>
  </si>
  <si>
    <t>2022: Q4</t>
  </si>
  <si>
    <t>2.9 STS Securitisation Issuance by EU and UK</t>
  </si>
  <si>
    <t>45/2</t>
  </si>
  <si>
    <t>25/5</t>
  </si>
  <si>
    <t>116/26</t>
  </si>
  <si>
    <t>44/2</t>
  </si>
  <si>
    <t>45/12</t>
  </si>
  <si>
    <t>249/36</t>
  </si>
  <si>
    <t>349/211</t>
  </si>
  <si>
    <t>1487/528</t>
  </si>
  <si>
    <t>70/8</t>
  </si>
  <si>
    <t>94/2</t>
  </si>
  <si>
    <t>84/0</t>
  </si>
  <si>
    <t>426/6</t>
  </si>
  <si>
    <t>6/7</t>
  </si>
  <si>
    <t>91/15</t>
  </si>
  <si>
    <t>0/61</t>
  </si>
  <si>
    <t>165/232</t>
  </si>
  <si>
    <t>11/15</t>
  </si>
  <si>
    <t>68/81</t>
  </si>
  <si>
    <t>248/128</t>
  </si>
  <si>
    <t>737/194</t>
  </si>
  <si>
    <t>26 / 2</t>
  </si>
  <si>
    <t>89 / 1</t>
  </si>
  <si>
    <t>157 / 4</t>
  </si>
  <si>
    <t>1528 / 96</t>
  </si>
  <si>
    <t>20 / 1</t>
  </si>
  <si>
    <t>86 / 16</t>
  </si>
  <si>
    <t>65 / 3</t>
  </si>
  <si>
    <t>149 / 6</t>
  </si>
  <si>
    <t>60 / 2</t>
  </si>
  <si>
    <t>428 / 28</t>
  </si>
  <si>
    <t>4009 / 257</t>
  </si>
  <si>
    <t>89 / 0</t>
  </si>
  <si>
    <t>49 / 0</t>
  </si>
  <si>
    <t>234 / 93</t>
  </si>
  <si>
    <t>1169 / 1</t>
  </si>
  <si>
    <t>38 / 2</t>
  </si>
  <si>
    <t>48 / 1</t>
  </si>
  <si>
    <t>15 / 6</t>
  </si>
  <si>
    <t>61 / 2</t>
  </si>
  <si>
    <t>206 / 1</t>
  </si>
  <si>
    <t>28 / 14</t>
  </si>
  <si>
    <t>428 / 26</t>
  </si>
  <si>
    <t>169 / 3</t>
  </si>
  <si>
    <t>87 / 0</t>
  </si>
  <si>
    <t>485 / 211</t>
  </si>
  <si>
    <t>48 / 0</t>
  </si>
  <si>
    <t>3143 / 39</t>
  </si>
  <si>
    <t>75 / 4</t>
  </si>
  <si>
    <t>2/6</t>
  </si>
  <si>
    <t>46/2</t>
  </si>
  <si>
    <t>163/9</t>
  </si>
  <si>
    <t>21/65</t>
  </si>
  <si>
    <t>121/39</t>
  </si>
  <si>
    <t>443/78</t>
  </si>
  <si>
    <t>1,147/54</t>
  </si>
  <si>
    <t>1,781/250</t>
  </si>
  <si>
    <t>24/3</t>
  </si>
  <si>
    <t>80/0</t>
  </si>
  <si>
    <t>147/0</t>
  </si>
  <si>
    <t>67/25</t>
  </si>
  <si>
    <t>212/4</t>
  </si>
  <si>
    <t>124/280</t>
  </si>
  <si>
    <t>824/135</t>
  </si>
  <si>
    <t>1926/122</t>
  </si>
  <si>
    <t>3001/120</t>
  </si>
  <si>
    <t>6301/686</t>
  </si>
  <si>
    <t>41/2</t>
  </si>
  <si>
    <t>435/2</t>
  </si>
  <si>
    <t>16/22</t>
  </si>
  <si>
    <t>164/10</t>
  </si>
  <si>
    <t>145/21</t>
  </si>
  <si>
    <t>886/58</t>
  </si>
  <si>
    <t>36/6</t>
  </si>
  <si>
    <t>76/5</t>
  </si>
  <si>
    <t>253/36</t>
  </si>
  <si>
    <t>422/0</t>
  </si>
  <si>
    <t>2.10 Number of EU STS Notifications by Private and Public</t>
  </si>
  <si>
    <t>2.11 Number of EU STS Notifications by ABCP and Non-ABCP</t>
  </si>
  <si>
    <t>33/4</t>
  </si>
  <si>
    <t>40/98</t>
  </si>
  <si>
    <t>50/5</t>
  </si>
  <si>
    <t>160/16</t>
  </si>
  <si>
    <t>194/25</t>
  </si>
  <si>
    <t>243/42</t>
  </si>
  <si>
    <t>834/226</t>
  </si>
  <si>
    <t>3275/1283</t>
  </si>
  <si>
    <t>62/4</t>
  </si>
  <si>
    <t>110/12</t>
  </si>
  <si>
    <t>142/377</t>
  </si>
  <si>
    <t>169/20</t>
  </si>
  <si>
    <t>616/63</t>
  </si>
  <si>
    <t>742/100</t>
  </si>
  <si>
    <t>813/148</t>
  </si>
  <si>
    <t>3031/862</t>
  </si>
  <si>
    <t>12145/4937</t>
  </si>
  <si>
    <t>56 / 9</t>
  </si>
  <si>
    <t>243 / 42</t>
  </si>
  <si>
    <t>21 / 18</t>
  </si>
  <si>
    <t>336 / 103</t>
  </si>
  <si>
    <t>176 / 53</t>
  </si>
  <si>
    <t>834 / 226</t>
  </si>
  <si>
    <t>626 / 11</t>
  </si>
  <si>
    <t>629 / 341</t>
  </si>
  <si>
    <t>176 / 364</t>
  </si>
  <si>
    <t>1833 / 567</t>
  </si>
  <si>
    <t>3275 / 1283</t>
  </si>
  <si>
    <t>813 / 148</t>
  </si>
  <si>
    <t>82 / 65</t>
  </si>
  <si>
    <t>1272 / 410</t>
  </si>
  <si>
    <t>664 / 200</t>
  </si>
  <si>
    <t>3031 / 862</t>
  </si>
  <si>
    <t>2683 / 44</t>
  </si>
  <si>
    <t>2264 / 1341</t>
  </si>
  <si>
    <t>689 / 1363</t>
  </si>
  <si>
    <t>6765 / 21889</t>
  </si>
  <si>
    <t>12145 / 4937</t>
  </si>
  <si>
    <t xml:space="preserve"> </t>
  </si>
  <si>
    <t>2.12 Number of UK STS Notifications by Private and Public</t>
  </si>
  <si>
    <t>2.13 Number of UK STS Notifications by ABCP and Non-ABCP</t>
  </si>
  <si>
    <t>2023:Q1</t>
  </si>
  <si>
    <t>2023: Q1</t>
  </si>
  <si>
    <t>21/1</t>
  </si>
  <si>
    <t>34/5</t>
  </si>
  <si>
    <t>42/98</t>
  </si>
  <si>
    <t>168/16</t>
  </si>
  <si>
    <t>203/27</t>
  </si>
  <si>
    <t>266/44</t>
  </si>
  <si>
    <t>882/231</t>
  </si>
  <si>
    <t>3507/1327</t>
  </si>
  <si>
    <t>62 / 9</t>
  </si>
  <si>
    <t>266 / 44</t>
  </si>
  <si>
    <t>21 / 21</t>
  </si>
  <si>
    <t>345 / 103</t>
  </si>
  <si>
    <t>186 / 53</t>
  </si>
  <si>
    <t>882 / 231</t>
  </si>
  <si>
    <t>640 / 13</t>
  </si>
  <si>
    <t>711 / 345</t>
  </si>
  <si>
    <t>178 / 395</t>
  </si>
  <si>
    <t>1967 / 574</t>
  </si>
  <si>
    <t>3507 / 1327</t>
  </si>
  <si>
    <t>95/8</t>
  </si>
  <si>
    <t>252/164</t>
  </si>
  <si>
    <t>19/3</t>
  </si>
  <si>
    <t>6/4</t>
  </si>
  <si>
    <t>34/28</t>
  </si>
  <si>
    <t>196/64</t>
  </si>
  <si>
    <t>22 / 3</t>
  </si>
  <si>
    <t>66 / 3</t>
  </si>
  <si>
    <t>696 / 20</t>
  </si>
  <si>
    <t>72 / 20</t>
  </si>
  <si>
    <t>595 / 0</t>
  </si>
  <si>
    <t>7/5</t>
  </si>
  <si>
    <t>19/11</t>
  </si>
  <si>
    <t>76/18</t>
  </si>
  <si>
    <t>780/132</t>
  </si>
  <si>
    <t>8/6</t>
  </si>
  <si>
    <t>86/118</t>
  </si>
  <si>
    <t>615/0</t>
  </si>
  <si>
    <t>Latest US outstandings data as of 2021:Q4</t>
  </si>
  <si>
    <t>European Total (incl. CLO / CDO)</t>
  </si>
  <si>
    <t xml:space="preserve">3.5 Total European Outstandings by Country and Collateral Type </t>
  </si>
  <si>
    <t>4.2 Top 10 Asset Classes for Annual Issuance</t>
  </si>
  <si>
    <t>Auto loans</t>
  </si>
  <si>
    <t>Consumer loans</t>
  </si>
  <si>
    <t>Undrawn corporate revolving facilities</t>
  </si>
  <si>
    <t>4.1 European SRT Securitisation Issuance</t>
  </si>
  <si>
    <t xml:space="preserve"> The principle of the index is to canvas prevailing opinion on the price of such generic deals.  SRTx™ SPREAD INDEXES updated monthly.</t>
  </si>
  <si>
    <t xml:space="preserve">The SRTx™ (the Index) is a fixed income benchmark rate index that measures the estimated prevailing new-issue price spread for generic private market risk transfer transactions. </t>
  </si>
  <si>
    <t>The Index is comprised of two theoretical deal structures with standardised, pre-defined characteristics across the corporate and SME sectors – the two most widely utilised SRT deal types.</t>
  </si>
  <si>
    <t>5.1 Moody's Investor Services</t>
  </si>
  <si>
    <t>5.2 S&amp;P Global Ratings</t>
  </si>
  <si>
    <t>5.3 DBRS</t>
  </si>
  <si>
    <t>5.4 Fitch Ratings</t>
  </si>
  <si>
    <t>5.5 Moody's Investor Services-Europe</t>
  </si>
  <si>
    <t>5.6 Moody's Investor Services-US</t>
  </si>
  <si>
    <t>5.7 S&amp;P Global Ratings-Europe</t>
  </si>
  <si>
    <t>5.8 S&amp;P Global Ratings-US</t>
  </si>
  <si>
    <t>5.9 DBRS-Europe</t>
  </si>
  <si>
    <t>5.10 DBRS-US</t>
  </si>
  <si>
    <t>5.11 Fitch Ratings-Europe</t>
  </si>
  <si>
    <t>5.12 Fitch Ratings-US</t>
  </si>
  <si>
    <t>6.6 European 3-5 Yr BBB CMBS Spreads</t>
  </si>
  <si>
    <t>6.7 US 3 &amp; 5 Yr AAA CMBS Spreads</t>
  </si>
  <si>
    <t>6.8 US 3 &amp; 5 Yr BBB CMBS Spreads</t>
  </si>
  <si>
    <t>6.9 European 1-4 Yr AAA ABS Spreads</t>
  </si>
  <si>
    <t>6.10 European 1-4 Yr BBB ABS Spreads</t>
  </si>
  <si>
    <t>6.11 EURO 5-10 Yr AAA-A CLO Spreads</t>
  </si>
  <si>
    <t>7.1 Outstanding: Asset Breakdown by Country of Asset in Multi-Seller Programmes</t>
  </si>
  <si>
    <t>7.2 European ABCP Outstandings by Programme Type</t>
  </si>
  <si>
    <t>7.3 US ABCP Outstandings by Programme Type</t>
  </si>
  <si>
    <t>7.4 European ABCP Seller Additions in Multi-Seller Portfolios during by Country of Asset</t>
  </si>
  <si>
    <t>4. Credit Quality - Rating Changes</t>
  </si>
  <si>
    <t>2023:Q2</t>
  </si>
  <si>
    <t>2023: Q2</t>
  </si>
  <si>
    <t>45/100</t>
  </si>
  <si>
    <t>56/6</t>
  </si>
  <si>
    <t>181/17</t>
  </si>
  <si>
    <t>207/28</t>
  </si>
  <si>
    <t>283/50</t>
  </si>
  <si>
    <t>934/243</t>
  </si>
  <si>
    <t>3820/1397</t>
  </si>
  <si>
    <t>160/11</t>
  </si>
  <si>
    <t>274/165</t>
  </si>
  <si>
    <t>22 / 4</t>
  </si>
  <si>
    <t>93 / 4</t>
  </si>
  <si>
    <t>702 / 53</t>
  </si>
  <si>
    <t>15 / 4</t>
  </si>
  <si>
    <t>97 / 0</t>
  </si>
  <si>
    <t>42 / 42</t>
  </si>
  <si>
    <t>6 / 2</t>
  </si>
  <si>
    <t>492 / 8</t>
  </si>
  <si>
    <t>52 / 1</t>
  </si>
  <si>
    <t>100/1</t>
  </si>
  <si>
    <t>133/2</t>
  </si>
  <si>
    <t>10/5</t>
  </si>
  <si>
    <t>0/64</t>
  </si>
  <si>
    <t>42/51</t>
  </si>
  <si>
    <t>89/43</t>
  </si>
  <si>
    <t>64 / 9</t>
  </si>
  <si>
    <t>283 / 50</t>
  </si>
  <si>
    <t>368 / 106</t>
  </si>
  <si>
    <t>196 / 56</t>
  </si>
  <si>
    <t>934 / 243</t>
  </si>
  <si>
    <t>668 / 15</t>
  </si>
  <si>
    <t>825 / 378</t>
  </si>
  <si>
    <t>181 / 423</t>
  </si>
  <si>
    <t>2135 / 581</t>
  </si>
  <si>
    <t>3820 / 1397</t>
  </si>
  <si>
    <t xml:space="preserve">For 1Q22 - 1Q23, European STS issuance volumes are sourced from JP Morgan. </t>
  </si>
  <si>
    <t>12/3</t>
  </si>
  <si>
    <t>51/1</t>
  </si>
  <si>
    <t>131/7</t>
  </si>
  <si>
    <t>11/10</t>
  </si>
  <si>
    <t>9/5</t>
  </si>
  <si>
    <t>21/89</t>
  </si>
  <si>
    <t>321/3</t>
  </si>
  <si>
    <t>999/2</t>
  </si>
  <si>
    <t>1,376/109</t>
  </si>
  <si>
    <t>32/1</t>
  </si>
  <si>
    <t xml:space="preserve">European SRT Securitisation Issuance </t>
  </si>
  <si>
    <t>3. SRT Issuance</t>
  </si>
  <si>
    <t>5.5 Moody's Investor Services - Europe</t>
  </si>
  <si>
    <t>5.6 Moody's Investor Services - US</t>
  </si>
  <si>
    <t>5.7 S&amp;P Global Ratings - Europe</t>
  </si>
  <si>
    <t>5.8 S&amp;P Global Ratings - US</t>
  </si>
  <si>
    <t>5.9 DBRS - Europe</t>
  </si>
  <si>
    <t>5.10 DBRS - US</t>
  </si>
  <si>
    <t>5.11 Fitch Ratings - Europe</t>
  </si>
  <si>
    <t>5.12 Fitch Ratings - US</t>
  </si>
  <si>
    <t>6.1 European 3-5 Yr AAA RMBS Spreads</t>
  </si>
  <si>
    <t>6.2 European 3-5 Yr BBB RMBS Spreads</t>
  </si>
  <si>
    <t>6.3 UK 3-5 Yr AAA RMBS Spreads</t>
  </si>
  <si>
    <t>6.4 UK 3-5 Yr BBB RMBS Spreads</t>
  </si>
  <si>
    <t>6.5 European 3-5 Yr AAA CMBS Spreads</t>
  </si>
  <si>
    <t>6.12 EURO 7-9 Yr BBB-BB CLO Spreads</t>
  </si>
  <si>
    <t>7.1 ABCP Oustanding: Asset Breakdown by Country of Assets in Multi-Seller Programmes</t>
  </si>
  <si>
    <t>7.2 EU ABCP Outstandings by Programme Type</t>
  </si>
  <si>
    <t>7.4 European ABCP Seller Additions in Multi-Seller Portfolios during H2 2019 by Country of Asset</t>
  </si>
  <si>
    <t>2023:Q3</t>
  </si>
  <si>
    <t>2023: Q3</t>
  </si>
  <si>
    <t>36/5</t>
  </si>
  <si>
    <t>48/104</t>
  </si>
  <si>
    <t>193/17</t>
  </si>
  <si>
    <t>235/29</t>
  </si>
  <si>
    <t>314/60</t>
  </si>
  <si>
    <t>1015/259</t>
  </si>
  <si>
    <t>4066/1458</t>
  </si>
  <si>
    <t>65 / 9</t>
  </si>
  <si>
    <t>314 / 60</t>
  </si>
  <si>
    <t>21 / 23</t>
  </si>
  <si>
    <t>386 / 106</t>
  </si>
  <si>
    <t>227 / 60</t>
  </si>
  <si>
    <t>1015 / 259</t>
  </si>
  <si>
    <t>696 / 17</t>
  </si>
  <si>
    <t>898 / 407</t>
  </si>
  <si>
    <t>182 / 445</t>
  </si>
  <si>
    <t>2279 / 589</t>
  </si>
  <si>
    <t>4066 / 1458</t>
  </si>
  <si>
    <t>9/6</t>
  </si>
  <si>
    <t>45/14</t>
  </si>
  <si>
    <t>83/26</t>
  </si>
  <si>
    <t>1/63</t>
  </si>
  <si>
    <t>226/149</t>
  </si>
  <si>
    <t>474/242</t>
  </si>
  <si>
    <t>19/12</t>
  </si>
  <si>
    <t>24/2</t>
  </si>
  <si>
    <t>39/5</t>
  </si>
  <si>
    <t>101/17</t>
  </si>
  <si>
    <t>318/1,204</t>
  </si>
  <si>
    <t>31/4</t>
  </si>
  <si>
    <t>17/3</t>
  </si>
  <si>
    <t>11/4</t>
  </si>
  <si>
    <t>6/317</t>
  </si>
  <si>
    <t>2/12</t>
  </si>
  <si>
    <t>184/440</t>
  </si>
  <si>
    <t>81/435</t>
  </si>
  <si>
    <t>2 / 4</t>
  </si>
  <si>
    <t>9 / 4</t>
  </si>
  <si>
    <t>13 / 8</t>
  </si>
  <si>
    <t>18 / 3</t>
  </si>
  <si>
    <t>8 / 5</t>
  </si>
  <si>
    <t>26 / 9</t>
  </si>
  <si>
    <t>79 / 33</t>
  </si>
  <si>
    <t>706 / 59</t>
  </si>
  <si>
    <t>0 / 23</t>
  </si>
  <si>
    <t>6 / 4</t>
  </si>
  <si>
    <t>78 / 33</t>
  </si>
  <si>
    <t>74 / 0</t>
  </si>
  <si>
    <t>24 / 59</t>
  </si>
  <si>
    <t>573 / 0</t>
  </si>
  <si>
    <t>Corporate and SME loans</t>
  </si>
  <si>
    <t>Real estate / Mortgage loans</t>
  </si>
  <si>
    <t>Leasing</t>
  </si>
  <si>
    <t>Project finance loans</t>
  </si>
  <si>
    <t xml:space="preserve">Issuance refers to total portfolio notional volumes. For transactions for which portfolio volumes are unavailable, volumes have been estimated using the European median average. </t>
  </si>
  <si>
    <t>2023:Q4</t>
  </si>
  <si>
    <t>2023: Q4</t>
  </si>
  <si>
    <t>EU Total (ex. CLOs)</t>
  </si>
  <si>
    <t>European Total (ex. CLOs)</t>
  </si>
  <si>
    <t>Figures may have discrepancies with previously reported volumes due to a change in data source.</t>
  </si>
  <si>
    <t>39/6</t>
  </si>
  <si>
    <t>52/106</t>
  </si>
  <si>
    <t>359/63</t>
  </si>
  <si>
    <t>235/18</t>
  </si>
  <si>
    <t>235/30</t>
  </si>
  <si>
    <t>1125/267</t>
  </si>
  <si>
    <t>4381/1511</t>
  </si>
  <si>
    <t>89/6</t>
  </si>
  <si>
    <t>143/21</t>
  </si>
  <si>
    <t>187/408</t>
  </si>
  <si>
    <t>1222/217</t>
  </si>
  <si>
    <t>220/23</t>
  </si>
  <si>
    <t>777/68</t>
  </si>
  <si>
    <t>880/114</t>
  </si>
  <si>
    <t>3956/1000</t>
  </si>
  <si>
    <t>15774/5693</t>
  </si>
  <si>
    <t>66/1</t>
  </si>
  <si>
    <t>23/8</t>
  </si>
  <si>
    <t>96/13</t>
  </si>
  <si>
    <t>699/276</t>
  </si>
  <si>
    <t>113/6</t>
  </si>
  <si>
    <t>11/5</t>
  </si>
  <si>
    <t>191/31</t>
  </si>
  <si>
    <t>396/46</t>
  </si>
  <si>
    <t>1699/847</t>
  </si>
  <si>
    <t>49 / 2</t>
  </si>
  <si>
    <t>6 / 1</t>
  </si>
  <si>
    <t>10 / 1</t>
  </si>
  <si>
    <t>42 / 0</t>
  </si>
  <si>
    <t>121 / 4</t>
  </si>
  <si>
    <t>1345 / 106</t>
  </si>
  <si>
    <t>16 / 4</t>
  </si>
  <si>
    <t>23 / 4</t>
  </si>
  <si>
    <t>106 / 17</t>
  </si>
  <si>
    <t>61 / 10</t>
  </si>
  <si>
    <t xml:space="preserve">55 / 4 </t>
  </si>
  <si>
    <t xml:space="preserve">71 / 5 </t>
  </si>
  <si>
    <t>359 / 44</t>
  </si>
  <si>
    <t>3449 / 238</t>
  </si>
  <si>
    <t>180/1</t>
  </si>
  <si>
    <t>31/3</t>
  </si>
  <si>
    <t>255/15</t>
  </si>
  <si>
    <t>1980/340</t>
  </si>
  <si>
    <t>34/9</t>
  </si>
  <si>
    <t>228/7</t>
  </si>
  <si>
    <t>81/7</t>
  </si>
  <si>
    <t>116/19</t>
  </si>
  <si>
    <t>563/57</t>
  </si>
  <si>
    <t>4454/1785</t>
  </si>
  <si>
    <t>71 / 10</t>
  </si>
  <si>
    <t>359 / 63</t>
  </si>
  <si>
    <t>21 / 25</t>
  </si>
  <si>
    <t>232 / 62</t>
  </si>
  <si>
    <t>440 / 106</t>
  </si>
  <si>
    <t>1125 / 259</t>
  </si>
  <si>
    <t>262 / 37</t>
  </si>
  <si>
    <t>1222 / 217</t>
  </si>
  <si>
    <t>84 / 90</t>
  </si>
  <si>
    <t>8 / 4</t>
  </si>
  <si>
    <t>841 / 231</t>
  </si>
  <si>
    <t>1539 / 421</t>
  </si>
  <si>
    <t>3956 / 1000</t>
  </si>
  <si>
    <t>747 / 20</t>
  </si>
  <si>
    <t>982 / 419</t>
  </si>
  <si>
    <t>138 / 467</t>
  </si>
  <si>
    <t>11 /0</t>
  </si>
  <si>
    <t>2458 / 605</t>
  </si>
  <si>
    <t>4381 / 1511</t>
  </si>
  <si>
    <t>2751 / 65</t>
  </si>
  <si>
    <t>3416 / 1549</t>
  </si>
  <si>
    <t>679 / 1730</t>
  </si>
  <si>
    <t>8839 / 2349</t>
  </si>
  <si>
    <t>15774 / 5693</t>
  </si>
  <si>
    <t>56/2</t>
  </si>
  <si>
    <t>101/8</t>
  </si>
  <si>
    <t>33/23</t>
  </si>
  <si>
    <t>128/14</t>
  </si>
  <si>
    <t>163/0</t>
  </si>
  <si>
    <t>1/12</t>
  </si>
  <si>
    <t>0/159</t>
  </si>
  <si>
    <t>142/19</t>
  </si>
  <si>
    <t>393/86</t>
  </si>
  <si>
    <t>418/6</t>
  </si>
  <si>
    <t>96/50</t>
  </si>
  <si>
    <t>1/347</t>
  </si>
  <si>
    <t>280/102</t>
  </si>
  <si>
    <t>904/342</t>
  </si>
  <si>
    <t>121 / 3</t>
  </si>
  <si>
    <t>46/0</t>
  </si>
  <si>
    <t>39 / 2</t>
  </si>
  <si>
    <t>132 / 101</t>
  </si>
  <si>
    <t>1131 / 1</t>
  </si>
  <si>
    <t>0/11</t>
  </si>
  <si>
    <t>55/8</t>
  </si>
  <si>
    <t>10/30</t>
  </si>
  <si>
    <t>36/3</t>
  </si>
  <si>
    <t>133/5</t>
  </si>
  <si>
    <t>73/0</t>
  </si>
  <si>
    <t>36/8</t>
  </si>
  <si>
    <t>36/174</t>
  </si>
  <si>
    <t>1242/38</t>
  </si>
  <si>
    <t>138/36</t>
  </si>
  <si>
    <t>441/82</t>
  </si>
  <si>
    <t>176/0</t>
  </si>
  <si>
    <t>55/31</t>
  </si>
  <si>
    <t>327/821</t>
  </si>
  <si>
    <t>38/337</t>
  </si>
  <si>
    <t>480/39</t>
  </si>
  <si>
    <t>6.1 European 3-5 Yr AAA RMBS Spreads (bps) selected jurisdictions</t>
  </si>
  <si>
    <t>6.2 European 3-5 Yr AAA RMBS Spreads (bps) selected jurisdictions</t>
  </si>
  <si>
    <t>6.3 European 3-5 Yr BBB RMBS Spreads (bps) selected jurisdictions</t>
  </si>
  <si>
    <t>6.4 European 3-5 Yr BBB RMBS Spreads (bps) selected jurisdictions</t>
  </si>
  <si>
    <t>6.5 UK 3-5 Yr AAA RMBS Spreads (bps)</t>
  </si>
  <si>
    <t>6.6 UK 5 Yr BBB RMBS Spreads (bps)</t>
  </si>
  <si>
    <t xml:space="preserve">6.14 EURO 7-9 Yr BBB-BB CLO Spreads </t>
  </si>
  <si>
    <t>6.13 EURO 5-10 Yr AAA-A CLO Spreads</t>
  </si>
  <si>
    <t>6.12 European 1-4 Yr BBB ABS Spreads</t>
  </si>
  <si>
    <t>6.11 European 1-4 Yr AAA ABS Spreads</t>
  </si>
  <si>
    <t>6.10 US 3 &amp; 5 Yr BBB CMBS Spreads</t>
  </si>
  <si>
    <t>6.9 US 3 &amp; 5 Yr AAA CMBS Spreads</t>
  </si>
  <si>
    <t>6.8 European 3-5 Yr BBB CMBS Spreads</t>
  </si>
  <si>
    <t>6.7. European 3-5 Yr AAA, AA, A CMBS Spreads</t>
  </si>
  <si>
    <t>Complete US outstanding data only available up to 2021:Q4</t>
  </si>
  <si>
    <t>Other category includes: capital calls; consumer &amp; auto loans; dealer floorplan; leveraged loans; personal, debt consolidation and sales finance loans; and corporate revolver loans.</t>
  </si>
  <si>
    <t>2024:Q1</t>
  </si>
  <si>
    <t>2024: Q1</t>
  </si>
  <si>
    <t>55/109</t>
  </si>
  <si>
    <t>413/72</t>
  </si>
  <si>
    <t>63/7</t>
  </si>
  <si>
    <t>237/18</t>
  </si>
  <si>
    <t>237/30</t>
  </si>
  <si>
    <t>1192/280</t>
  </si>
  <si>
    <t>4702/1570</t>
  </si>
  <si>
    <t>45/1</t>
  </si>
  <si>
    <t>12/19</t>
  </si>
  <si>
    <t>63/20</t>
  </si>
  <si>
    <t>185/276</t>
  </si>
  <si>
    <t>41 / 2</t>
  </si>
  <si>
    <t>93 / 9</t>
  </si>
  <si>
    <t>777 / 147</t>
  </si>
  <si>
    <t>58/0</t>
  </si>
  <si>
    <t>182/1</t>
  </si>
  <si>
    <t>579/65</t>
  </si>
  <si>
    <t>413 / 72</t>
  </si>
  <si>
    <t>22 / 25</t>
  </si>
  <si>
    <t>444 / 107</t>
  </si>
  <si>
    <t>238 / 65</t>
  </si>
  <si>
    <t>781 / 21</t>
  </si>
  <si>
    <t>1088 / 445</t>
  </si>
  <si>
    <t>183 / 475</t>
  </si>
  <si>
    <t>2639 / 629</t>
  </si>
  <si>
    <t>4702 / 1570</t>
  </si>
  <si>
    <t>3/8</t>
  </si>
  <si>
    <t>10/3</t>
  </si>
  <si>
    <t>32/8</t>
  </si>
  <si>
    <t>121/197</t>
  </si>
  <si>
    <t>12 / 4</t>
  </si>
  <si>
    <t>37 / 2</t>
  </si>
  <si>
    <t>21 / 1</t>
  </si>
  <si>
    <t>270 / 222</t>
  </si>
  <si>
    <t>54 / 0</t>
  </si>
  <si>
    <t>14 / 23</t>
  </si>
  <si>
    <t>106 / 0</t>
  </si>
  <si>
    <t>88 / 6</t>
  </si>
  <si>
    <t>30 / 13</t>
  </si>
  <si>
    <t>25 / 1</t>
  </si>
  <si>
    <t>224 / 2</t>
  </si>
  <si>
    <t>2791 / 9</t>
  </si>
  <si>
    <t>86 / 2</t>
  </si>
  <si>
    <t>27 / 145</t>
  </si>
  <si>
    <t>676 / 0</t>
  </si>
  <si>
    <t>29/1</t>
  </si>
  <si>
    <t>4/13</t>
  </si>
  <si>
    <t>19/8</t>
  </si>
  <si>
    <t>2/44</t>
  </si>
  <si>
    <t>326/0</t>
  </si>
  <si>
    <t>202/0</t>
  </si>
  <si>
    <t>2937/475</t>
  </si>
  <si>
    <t xml:space="preserve">European SRT volumes include EU and non-EU European countries and aggregated on the basis of the transaction currency being European (EUR, CHF, GBP, PLN and RON). </t>
  </si>
  <si>
    <t>2024:Q2</t>
  </si>
  <si>
    <t>2024: Q2</t>
  </si>
  <si>
    <t>41/6</t>
  </si>
  <si>
    <t>56/112</t>
  </si>
  <si>
    <t>461/84</t>
  </si>
  <si>
    <t>78/7</t>
  </si>
  <si>
    <t>243/18</t>
  </si>
  <si>
    <t>263/30</t>
  </si>
  <si>
    <t>1296/303</t>
  </si>
  <si>
    <t>5188/1642</t>
  </si>
  <si>
    <t>3/2</t>
  </si>
  <si>
    <t>34/20</t>
  </si>
  <si>
    <t>204/532</t>
  </si>
  <si>
    <t>5 / 4</t>
  </si>
  <si>
    <t>15 / 5</t>
  </si>
  <si>
    <t>6 / 6</t>
  </si>
  <si>
    <t>52 / 16</t>
  </si>
  <si>
    <t>720 / 403</t>
  </si>
  <si>
    <t>79/2</t>
  </si>
  <si>
    <t>181/6</t>
  </si>
  <si>
    <t>354/209</t>
  </si>
  <si>
    <t>76 / 10</t>
  </si>
  <si>
    <t>461 / 84</t>
  </si>
  <si>
    <t>22 / 26</t>
  </si>
  <si>
    <t>463 / 114</t>
  </si>
  <si>
    <t>272 / 68</t>
  </si>
  <si>
    <t>1192 / 270</t>
  </si>
  <si>
    <t>1296 / 303</t>
  </si>
  <si>
    <t>837 / 23</t>
  </si>
  <si>
    <t>1184 / 480</t>
  </si>
  <si>
    <t>183 / 493</t>
  </si>
  <si>
    <t>2973 / 646</t>
  </si>
  <si>
    <t>5188 / 1642</t>
  </si>
  <si>
    <t>0/13</t>
  </si>
  <si>
    <t>97/0</t>
  </si>
  <si>
    <t>33/11</t>
  </si>
  <si>
    <t>7/11</t>
  </si>
  <si>
    <t>67/449</t>
  </si>
  <si>
    <t>0 / 10</t>
  </si>
  <si>
    <t>12 / 5</t>
  </si>
  <si>
    <t>57 / 1</t>
  </si>
  <si>
    <t>16 / 385</t>
  </si>
  <si>
    <t>577 / 0</t>
  </si>
  <si>
    <t>43 / 17</t>
  </si>
  <si>
    <t>81/2</t>
  </si>
  <si>
    <t>10/28</t>
  </si>
  <si>
    <t>13/6</t>
  </si>
  <si>
    <t>4/175</t>
  </si>
  <si>
    <t>55/0</t>
  </si>
  <si>
    <t>227/0</t>
  </si>
  <si>
    <t xml:space="preserve"> *Due to outstanding CLO / CDO data being unavailable from 2019:Q4 to 2022:Q1 the total amount outstanding during this period is an underestimate of the true value. </t>
  </si>
  <si>
    <t>2024:Q3</t>
  </si>
  <si>
    <t>2024: Q3</t>
  </si>
  <si>
    <t>42/7</t>
  </si>
  <si>
    <t>60/115</t>
  </si>
  <si>
    <t>265/18</t>
  </si>
  <si>
    <t>263/31</t>
  </si>
  <si>
    <t>504/86</t>
  </si>
  <si>
    <t>1366/311</t>
  </si>
  <si>
    <t>5553/1749</t>
  </si>
  <si>
    <t>31/28</t>
  </si>
  <si>
    <t>94/34</t>
  </si>
  <si>
    <t>309/268</t>
  </si>
  <si>
    <t>9 / 13</t>
  </si>
  <si>
    <t>6 / 11</t>
  </si>
  <si>
    <t>49 / 32</t>
  </si>
  <si>
    <t>1306 / 296</t>
  </si>
  <si>
    <t>5/5</t>
  </si>
  <si>
    <t>167/0</t>
  </si>
  <si>
    <t>291/13</t>
  </si>
  <si>
    <t>1040/527</t>
  </si>
  <si>
    <t>504 / 86</t>
  </si>
  <si>
    <t>22 / 28</t>
  </si>
  <si>
    <t>489 / 114</t>
  </si>
  <si>
    <t>273 / 72</t>
  </si>
  <si>
    <t>1366 / 311</t>
  </si>
  <si>
    <t>879 / 24</t>
  </si>
  <si>
    <t>1276 / 510</t>
  </si>
  <si>
    <t>184 / 521</t>
  </si>
  <si>
    <t>3203 / 694</t>
  </si>
  <si>
    <t>5553 / 1749</t>
  </si>
  <si>
    <t>10/15</t>
  </si>
  <si>
    <t>16/19</t>
  </si>
  <si>
    <t>55/6</t>
  </si>
  <si>
    <t>86/18</t>
  </si>
  <si>
    <t>0/206</t>
  </si>
  <si>
    <t>130/30</t>
  </si>
  <si>
    <t>0 / 18</t>
  </si>
  <si>
    <t>13 / 4</t>
  </si>
  <si>
    <t>11 / 291</t>
  </si>
  <si>
    <t>1231 / 0</t>
  </si>
  <si>
    <t>13 / 2</t>
  </si>
  <si>
    <t>77/0</t>
  </si>
  <si>
    <t>174/2</t>
  </si>
  <si>
    <t>32/0</t>
  </si>
  <si>
    <t>3/20</t>
  </si>
  <si>
    <t>115/382</t>
  </si>
  <si>
    <t>24/22</t>
  </si>
  <si>
    <t>477/81</t>
  </si>
  <si>
    <t>382/19</t>
  </si>
  <si>
    <t>2024:Q4</t>
  </si>
  <si>
    <t>2024: Q4</t>
  </si>
  <si>
    <t xml:space="preserve">2024:Q4 </t>
  </si>
  <si>
    <t>Leveraged loans</t>
  </si>
  <si>
    <t>Transport, infrastructure and energy loans</t>
  </si>
  <si>
    <t>Buy now pay later loans</t>
  </si>
  <si>
    <t>45/8</t>
  </si>
  <si>
    <t>534/89</t>
  </si>
  <si>
    <t>267/18</t>
  </si>
  <si>
    <t>263/32</t>
  </si>
  <si>
    <t>1409/319</t>
  </si>
  <si>
    <t>5971/2016</t>
  </si>
  <si>
    <t>105/13</t>
  </si>
  <si>
    <t>167/27</t>
  </si>
  <si>
    <t>231/451</t>
  </si>
  <si>
    <t>1912/331</t>
  </si>
  <si>
    <t>297/28</t>
  </si>
  <si>
    <t>1012/72</t>
  </si>
  <si>
    <t>1026/123</t>
  </si>
  <si>
    <t>5263/1213</t>
  </si>
  <si>
    <t>21414/6977</t>
  </si>
  <si>
    <t>15/18</t>
  </si>
  <si>
    <t>37/1</t>
  </si>
  <si>
    <t>76/19</t>
  </si>
  <si>
    <t>387/202</t>
  </si>
  <si>
    <t>141/3</t>
  </si>
  <si>
    <t>276/93</t>
  </si>
  <si>
    <t>1085/1278</t>
  </si>
  <si>
    <t>43 / 4</t>
  </si>
  <si>
    <t>107 / 5</t>
  </si>
  <si>
    <t>657 / 150</t>
  </si>
  <si>
    <t xml:space="preserve">13 / 5 </t>
  </si>
  <si>
    <t>87 /21</t>
  </si>
  <si>
    <t xml:space="preserve">59 / 1 </t>
  </si>
  <si>
    <t>83 / 19</t>
  </si>
  <si>
    <t>13 /12</t>
  </si>
  <si>
    <t>301 / 62</t>
  </si>
  <si>
    <t>3460 / 996</t>
  </si>
  <si>
    <t>99/21</t>
  </si>
  <si>
    <t>359/258</t>
  </si>
  <si>
    <t>40/2</t>
  </si>
  <si>
    <t>324/4</t>
  </si>
  <si>
    <t>25/10</t>
  </si>
  <si>
    <t>107/11</t>
  </si>
  <si>
    <t>753/41</t>
  </si>
  <si>
    <t>2332/1059</t>
  </si>
  <si>
    <t>84 / 10</t>
  </si>
  <si>
    <t>534 / 89</t>
  </si>
  <si>
    <t>22 / 29</t>
  </si>
  <si>
    <t>493 / 116</t>
  </si>
  <si>
    <t>274 / 74</t>
  </si>
  <si>
    <t>1409 / 319</t>
  </si>
  <si>
    <t>309 / 40</t>
  </si>
  <si>
    <t>1912 / 331</t>
  </si>
  <si>
    <t>88 / 108</t>
  </si>
  <si>
    <t>1889 / 451</t>
  </si>
  <si>
    <t>1057 / 279</t>
  </si>
  <si>
    <t>5263 / 1213</t>
  </si>
  <si>
    <t>906 / 24</t>
  </si>
  <si>
    <t>1376 / 539</t>
  </si>
  <si>
    <t>186 / 537</t>
  </si>
  <si>
    <t>3492 / 916</t>
  </si>
  <si>
    <t>5971 / 2016</t>
  </si>
  <si>
    <t>3403 /92</t>
  </si>
  <si>
    <t>4924 / 1974</t>
  </si>
  <si>
    <t>736 / 2026</t>
  </si>
  <si>
    <t>12307 / 2885</t>
  </si>
  <si>
    <t>21414 / 6977</t>
  </si>
  <si>
    <t>24/8</t>
  </si>
  <si>
    <t>16/33</t>
  </si>
  <si>
    <t>60/5</t>
  </si>
  <si>
    <t>26/44</t>
  </si>
  <si>
    <t>267/93</t>
  </si>
  <si>
    <t>138/0</t>
  </si>
  <si>
    <t>49/10</t>
  </si>
  <si>
    <t>8/148</t>
  </si>
  <si>
    <t>190/37</t>
  </si>
  <si>
    <t>322/11</t>
  </si>
  <si>
    <t>200/47</t>
  </si>
  <si>
    <t>8/476</t>
  </si>
  <si>
    <t>47/31</t>
  </si>
  <si>
    <t>17 / 1</t>
  </si>
  <si>
    <t>13 / 36</t>
  </si>
  <si>
    <t>85 / 6</t>
  </si>
  <si>
    <t>33 / 15</t>
  </si>
  <si>
    <t>90 / 4</t>
  </si>
  <si>
    <t>3 / 3</t>
  </si>
  <si>
    <t>35 / 4</t>
  </si>
  <si>
    <t>66 / 142</t>
  </si>
  <si>
    <t>541 / 0</t>
  </si>
  <si>
    <t>10 / 3</t>
  </si>
  <si>
    <t>146  / 8</t>
  </si>
  <si>
    <t xml:space="preserve">35 / 2 </t>
  </si>
  <si>
    <t>120 / 963</t>
  </si>
  <si>
    <t>31 / 1</t>
  </si>
  <si>
    <t>3025 / 0</t>
  </si>
  <si>
    <t>103 / 22</t>
  </si>
  <si>
    <t>5/15</t>
  </si>
  <si>
    <t>39/0</t>
  </si>
  <si>
    <t>340/7</t>
  </si>
  <si>
    <t>15/20</t>
  </si>
  <si>
    <t>125/2</t>
  </si>
  <si>
    <t>10/8</t>
  </si>
  <si>
    <t>129/0</t>
  </si>
  <si>
    <t>30/77</t>
  </si>
  <si>
    <t>49/17</t>
  </si>
  <si>
    <t>0/239</t>
  </si>
  <si>
    <t>121/84</t>
  </si>
  <si>
    <t>243/3</t>
  </si>
  <si>
    <t>639/25</t>
  </si>
  <si>
    <t>76/0</t>
  </si>
  <si>
    <t>887/19</t>
  </si>
  <si>
    <t>66/82</t>
  </si>
  <si>
    <t>508/713</t>
  </si>
  <si>
    <t>Q1 2025</t>
  </si>
  <si>
    <t>2025:Q1</t>
  </si>
  <si>
    <t>2025: Q1</t>
  </si>
  <si>
    <t>47/8</t>
  </si>
  <si>
    <t>62/116</t>
  </si>
  <si>
    <t>82/8</t>
  </si>
  <si>
    <t>281/20</t>
  </si>
  <si>
    <t>273/33</t>
  </si>
  <si>
    <t>566/96</t>
  </si>
  <si>
    <t>1476/331</t>
  </si>
  <si>
    <t>6651/2089</t>
  </si>
  <si>
    <t>87 / 11</t>
  </si>
  <si>
    <t>566 / 96</t>
  </si>
  <si>
    <t>24 / 29</t>
  </si>
  <si>
    <t>507 / 117</t>
  </si>
  <si>
    <t>290 / 77</t>
  </si>
  <si>
    <t>1476 / 331</t>
  </si>
  <si>
    <t>967 / 24</t>
  </si>
  <si>
    <t>1439 / 559</t>
  </si>
  <si>
    <t>186 / 559</t>
  </si>
  <si>
    <t>4048 / 947</t>
  </si>
  <si>
    <t>6651 / 2089</t>
  </si>
  <si>
    <t>10 / 4</t>
  </si>
  <si>
    <t>1 / 5</t>
  </si>
  <si>
    <t>82 / 12</t>
  </si>
  <si>
    <t>836 / 210</t>
  </si>
  <si>
    <t>58 / 2</t>
  </si>
  <si>
    <t>63 / 3</t>
  </si>
  <si>
    <t>53 / 206</t>
  </si>
  <si>
    <t>686 / 0</t>
  </si>
  <si>
    <t>12 / 1</t>
  </si>
  <si>
    <t>64/5</t>
  </si>
  <si>
    <t>164/108</t>
  </si>
  <si>
    <t>0/86</t>
  </si>
  <si>
    <t>64/19</t>
  </si>
  <si>
    <t>4.3 SRTx™ SPREAD INDEXES (April 2025)</t>
  </si>
  <si>
    <t>23/14</t>
  </si>
  <si>
    <t>87/3</t>
  </si>
  <si>
    <t>224/22</t>
  </si>
  <si>
    <t>627/238</t>
  </si>
  <si>
    <t>61/2</t>
  </si>
  <si>
    <t>89/3</t>
  </si>
  <si>
    <t>29/0</t>
  </si>
  <si>
    <t>6/26</t>
  </si>
  <si>
    <t>2/210</t>
  </si>
  <si>
    <t>88/0</t>
  </si>
  <si>
    <t>489/0</t>
  </si>
  <si>
    <t>Due to ongoing revisions to the data, US non-agency issuance volumes have been revised upwards for 2021. Most recent quarterly issuance data volumes concerning the US non-agency RMBS, CMBS and CDO categories are likely to be revised upwards next quarter.</t>
  </si>
  <si>
    <t>Q2 2025</t>
  </si>
  <si>
    <t>2025:Q2</t>
  </si>
  <si>
    <t>2021-2025</t>
  </si>
  <si>
    <t>2025: Q2</t>
  </si>
  <si>
    <t>48/8</t>
  </si>
  <si>
    <t>62/117</t>
  </si>
  <si>
    <t>292/20</t>
  </si>
  <si>
    <t>276/35</t>
  </si>
  <si>
    <t>585/99</t>
  </si>
  <si>
    <t>1511/337</t>
  </si>
  <si>
    <t>7064/2126</t>
  </si>
  <si>
    <t>585 / 99</t>
  </si>
  <si>
    <t>26 / 30</t>
  </si>
  <si>
    <t>519 / 117</t>
  </si>
  <si>
    <t>291 / 79</t>
  </si>
  <si>
    <t>1511 / 337</t>
  </si>
  <si>
    <t>1001 / 24</t>
  </si>
  <si>
    <t>1476 / 569</t>
  </si>
  <si>
    <t>186 / 572</t>
  </si>
  <si>
    <t>4390 / 961</t>
  </si>
  <si>
    <t>7064 / 2126</t>
  </si>
  <si>
    <t>52/11</t>
  </si>
  <si>
    <t>1020/461</t>
  </si>
  <si>
    <t>87/9</t>
  </si>
  <si>
    <t>98/41</t>
  </si>
  <si>
    <t>0/153</t>
  </si>
  <si>
    <t>54/23</t>
  </si>
  <si>
    <t>781/235</t>
  </si>
  <si>
    <t>19/35</t>
  </si>
  <si>
    <t>82/5</t>
  </si>
  <si>
    <t>138/45</t>
  </si>
  <si>
    <t>87/541</t>
  </si>
  <si>
    <t>93/5</t>
  </si>
  <si>
    <t>0/35</t>
  </si>
  <si>
    <t>13/27</t>
  </si>
  <si>
    <t>11/513</t>
  </si>
  <si>
    <t>2 / 7</t>
  </si>
  <si>
    <t>22 / 10</t>
  </si>
  <si>
    <t>909 / 182</t>
  </si>
  <si>
    <t>497 / 182</t>
  </si>
  <si>
    <t>356 / 0</t>
  </si>
  <si>
    <r>
      <t xml:space="preserve">Sources: </t>
    </r>
    <r>
      <rPr>
        <sz val="8"/>
        <rFont val="Georgia"/>
        <family val="1"/>
      </rPr>
      <t>AFME, SIFMA, Bank of America, JP Morgan</t>
    </r>
  </si>
  <si>
    <r>
      <t xml:space="preserve">Sources: </t>
    </r>
    <r>
      <rPr>
        <sz val="8"/>
        <rFont val="Georgia"/>
        <family val="1"/>
      </rPr>
      <t xml:space="preserve"> Bank of America, ESMA</t>
    </r>
    <r>
      <rPr>
        <b/>
        <sz val="8"/>
        <rFont val="Georgia"/>
        <family val="1"/>
      </rPr>
      <t xml:space="preserve">, </t>
    </r>
    <r>
      <rPr>
        <sz val="8"/>
        <rFont val="Georgia"/>
        <family val="1"/>
      </rPr>
      <t>JP Morgan</t>
    </r>
    <r>
      <rPr>
        <b/>
        <sz val="8"/>
        <rFont val="Georgia"/>
        <family val="1"/>
      </rPr>
      <t xml:space="preserve">, </t>
    </r>
    <r>
      <rPr>
        <sz val="8"/>
        <rFont val="Georgia"/>
        <family val="1"/>
      </rPr>
      <t>FCA</t>
    </r>
  </si>
  <si>
    <r>
      <t>Sources:</t>
    </r>
    <r>
      <rPr>
        <sz val="8"/>
        <rFont val="Georgia"/>
        <family val="1"/>
      </rPr>
      <t xml:space="preserve"> JP Morgan, AFME, SIFMA </t>
    </r>
  </si>
  <si>
    <r>
      <t xml:space="preserve">Sources: </t>
    </r>
    <r>
      <rPr>
        <sz val="8"/>
        <rFont val="Georgia"/>
        <family val="1"/>
      </rPr>
      <t>JP Morgan</t>
    </r>
  </si>
  <si>
    <r>
      <t xml:space="preserve">Sources: </t>
    </r>
    <r>
      <rPr>
        <sz val="8"/>
        <rFont val="Georgia"/>
        <family val="1"/>
      </rPr>
      <t>JP Morgan</t>
    </r>
    <r>
      <rPr>
        <b/>
        <sz val="8"/>
        <rFont val="Georgia"/>
        <family val="1"/>
      </rPr>
      <t>.</t>
    </r>
  </si>
  <si>
    <r>
      <t xml:space="preserve">Sources: </t>
    </r>
    <r>
      <rPr>
        <sz val="8"/>
        <rFont val="Georgia"/>
        <family val="1"/>
      </rPr>
      <t>Moody's Investors Service</t>
    </r>
    <r>
      <rPr>
        <b/>
        <sz val="8"/>
        <rFont val="Georgia"/>
        <family val="1"/>
      </rPr>
      <t>s</t>
    </r>
  </si>
  <si>
    <t>2025 H1</t>
  </si>
  <si>
    <t>4.3 SRTx™ SPREAD INDEXES (August 2025)</t>
  </si>
  <si>
    <r>
      <t xml:space="preserve">Sources: </t>
    </r>
    <r>
      <rPr>
        <sz val="8"/>
        <rFont val="Georgia"/>
        <family val="1"/>
      </rPr>
      <t xml:space="preserve">SCI and RTRA </t>
    </r>
  </si>
  <si>
    <r>
      <t xml:space="preserve">Sources: </t>
    </r>
    <r>
      <rPr>
        <sz val="8"/>
        <rFont val="Georgia"/>
        <family val="1"/>
      </rPr>
      <t>Moody's Investors Services, S&amp;P Global Ratings, DBRS, Fitch Ratings</t>
    </r>
  </si>
  <si>
    <r>
      <t xml:space="preserve">Sources: </t>
    </r>
    <r>
      <rPr>
        <sz val="8"/>
        <rFont val="Georgia"/>
        <family val="1"/>
      </rPr>
      <t>IHS Markit, Trepp</t>
    </r>
  </si>
  <si>
    <r>
      <t xml:space="preserve">Sources: </t>
    </r>
    <r>
      <rPr>
        <sz val="8"/>
        <rFont val="Georgia"/>
        <family val="1"/>
      </rPr>
      <t>IHS Markit</t>
    </r>
  </si>
  <si>
    <r>
      <t xml:space="preserve">Sources: </t>
    </r>
    <r>
      <rPr>
        <sz val="8"/>
        <rFont val="Georgia"/>
        <family val="1"/>
      </rPr>
      <t>IHS Markit, JP Morgan</t>
    </r>
  </si>
  <si>
    <r>
      <t xml:space="preserve">Source: </t>
    </r>
    <r>
      <rPr>
        <sz val="8"/>
        <rFont val="Georgia"/>
        <family val="1"/>
      </rPr>
      <t>Moody's Investor Services.</t>
    </r>
    <r>
      <rPr>
        <b/>
        <sz val="8"/>
        <rFont val="Georgia"/>
        <family val="1"/>
      </rPr>
      <t xml:space="preserve"> </t>
    </r>
    <r>
      <rPr>
        <sz val="8"/>
        <rFont val="Georgia"/>
        <family val="1"/>
      </rPr>
      <t>Latest data available as of H2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</si>
</sst>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quot;$&quot;#,##0.00_);[Red]\(&quot;$&quot;#,##0.00\)"/>
    <numFmt numFmtId="165" formatCode="_(* #,##0.00_);_(* \(#,##0.00\);_(* &quot;-&quot;??_);_(@_)"/>
    <numFmt numFmtId="166" formatCode="_(* #,##0.0_);_(* \(#,##0.0\);_(* &quot;-&quot;??_);_(@_)"/>
    <numFmt numFmtId="167" formatCode="0.0"/>
    <numFmt numFmtId="168" formatCode="0.0%"/>
    <numFmt numFmtId="169" formatCode="#,##0.0_);\(#,##0.0\)"/>
    <numFmt numFmtId="170" formatCode="#,##0.0"/>
    <numFmt numFmtId="171" formatCode="_(* #,##0.0_);_(* \(#,##0.0\);_(* &quot;-&quot;?_);_(@_)"/>
    <numFmt numFmtId="172" formatCode="_(* #,##0_);_(* \(#,##0\);_(* &quot;-&quot;?_);_(@_)"/>
    <numFmt numFmtId="173" formatCode="#,##0.000000000000"/>
  </numFmts>
  <fonts count="61">
    <font>
      <sz val="10"/>
      <name val="Arial"/>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0"/>
      <name val="Arial"/>
      <family val="2"/>
    </font>
    <font>
      <sz val="10"/>
      <name val="Arial"/>
      <family val="2"/>
    </font>
    <font>
      <u/>
      <sz val="10"/>
      <color indexed="12"/>
      <name val="Arial"/>
      <family val="2"/>
    </font>
    <font>
      <sz val="10"/>
      <name val="MS Sans Serif"/>
      <family val="2"/>
    </font>
    <font>
      <sz val="10"/>
      <name val="Cambria"/>
      <family val="1"/>
      <scheme val="minor"/>
    </font>
    <font>
      <b/>
      <u/>
      <sz val="10"/>
      <name val="Cambria"/>
      <family val="1"/>
      <scheme val="minor"/>
    </font>
    <font>
      <vertAlign val="superscript"/>
      <sz val="10"/>
      <name val="Cambria"/>
      <family val="1"/>
      <scheme val="minor"/>
    </font>
    <font>
      <sz val="10"/>
      <name val="HelveticaNeueLT Std"/>
      <family val="2"/>
      <scheme val="major"/>
    </font>
    <font>
      <sz val="10"/>
      <color indexed="8"/>
      <name val="HelveticaNeueLT Std"/>
      <family val="2"/>
      <scheme val="major"/>
    </font>
    <font>
      <b/>
      <sz val="8"/>
      <name val="Cambria"/>
      <family val="1"/>
      <scheme val="minor"/>
    </font>
    <font>
      <sz val="8"/>
      <name val="Cambria"/>
      <family val="1"/>
      <scheme val="minor"/>
    </font>
    <font>
      <b/>
      <i/>
      <sz val="8"/>
      <name val="Cambria"/>
      <family val="1"/>
      <scheme val="minor"/>
    </font>
    <font>
      <b/>
      <sz val="8"/>
      <color theme="0"/>
      <name val="Cambria"/>
      <family val="1"/>
      <scheme val="minor"/>
    </font>
    <font>
      <b/>
      <u/>
      <sz val="8"/>
      <name val="Cambria"/>
      <family val="1"/>
      <scheme val="minor"/>
    </font>
    <font>
      <b/>
      <sz val="8"/>
      <name val="HelveticaNeueLT Std"/>
      <family val="2"/>
      <scheme val="major"/>
    </font>
    <font>
      <sz val="8"/>
      <name val="HelveticaNeueLT Std"/>
      <family val="2"/>
      <scheme val="major"/>
    </font>
    <font>
      <sz val="18"/>
      <color rgb="FF78A22F"/>
      <name val="HelveticaNeueLT Std"/>
      <family val="2"/>
      <scheme val="major"/>
    </font>
    <font>
      <b/>
      <sz val="11"/>
      <name val="Cambria"/>
      <family val="1"/>
      <scheme val="minor"/>
    </font>
    <font>
      <i/>
      <sz val="8"/>
      <name val="Cambria"/>
      <family val="1"/>
      <scheme val="minor"/>
    </font>
    <font>
      <sz val="10"/>
      <color theme="1"/>
      <name val="Arial"/>
      <family val="2"/>
    </font>
    <font>
      <sz val="11"/>
      <color indexed="8"/>
      <name val="Calibri"/>
      <family val="2"/>
    </font>
    <font>
      <sz val="10"/>
      <color indexed="8"/>
      <name val="Arial"/>
      <family val="2"/>
    </font>
    <font>
      <sz val="10"/>
      <name val="Verdana"/>
      <family val="2"/>
    </font>
    <font>
      <sz val="10"/>
      <name val="Arial"/>
      <family val="2"/>
    </font>
    <font>
      <sz val="10"/>
      <name val="Arial"/>
      <family val="2"/>
    </font>
    <font>
      <sz val="10"/>
      <name val="Arial"/>
      <family val="2"/>
    </font>
    <font>
      <sz val="8"/>
      <name val="Arial"/>
      <family val="2"/>
    </font>
    <font>
      <u/>
      <sz val="10"/>
      <color theme="11"/>
      <name val="Arial"/>
      <family val="2"/>
    </font>
    <font>
      <sz val="10"/>
      <name val="Arial"/>
      <family val="2"/>
    </font>
    <font>
      <sz val="8"/>
      <color rgb="FFC00000"/>
      <name val="Cambria"/>
      <family val="1"/>
      <scheme val="minor"/>
    </font>
    <font>
      <b/>
      <sz val="8"/>
      <name val="Cambria"/>
      <family val="2"/>
      <scheme val="minor"/>
    </font>
    <font>
      <sz val="10"/>
      <name val="Arial"/>
      <family val="2"/>
    </font>
    <font>
      <sz val="10"/>
      <name val="Georgia"/>
      <family val="1"/>
    </font>
    <font>
      <sz val="11"/>
      <color indexed="56"/>
      <name val="Georgia"/>
      <family val="1"/>
    </font>
    <font>
      <sz val="10"/>
      <color indexed="8"/>
      <name val="Georgia"/>
      <family val="1"/>
    </font>
    <font>
      <u/>
      <sz val="10"/>
      <color rgb="FF01662A"/>
      <name val="Georgia"/>
      <family val="1"/>
    </font>
    <font>
      <b/>
      <sz val="10"/>
      <color indexed="8"/>
      <name val="Georgia"/>
      <family val="1"/>
    </font>
    <font>
      <sz val="10"/>
      <color rgb="FF00455C"/>
      <name val="Georgia"/>
      <family val="1"/>
    </font>
    <font>
      <b/>
      <sz val="11"/>
      <color rgb="FF00455C"/>
      <name val="Arial"/>
      <family val="2"/>
    </font>
    <font>
      <u/>
      <sz val="10"/>
      <color rgb="FF00455C"/>
      <name val="Georgia"/>
      <family val="1"/>
    </font>
    <font>
      <b/>
      <sz val="11"/>
      <name val="Arial"/>
      <family val="2"/>
    </font>
    <font>
      <b/>
      <sz val="8"/>
      <name val="Georgia"/>
      <family val="1"/>
    </font>
    <font>
      <b/>
      <sz val="8"/>
      <name val="Arial"/>
      <family val="2"/>
    </font>
    <font>
      <sz val="8"/>
      <color indexed="9"/>
      <name val="Georgia"/>
      <family val="1"/>
    </font>
    <font>
      <b/>
      <sz val="8"/>
      <color theme="0"/>
      <name val="Georgia"/>
      <family val="1"/>
    </font>
    <font>
      <sz val="8"/>
      <name val="Georgia"/>
      <family val="1"/>
    </font>
    <font>
      <b/>
      <sz val="8"/>
      <color indexed="9"/>
      <name val="Georgia"/>
      <family val="1"/>
    </font>
    <font>
      <i/>
      <sz val="8"/>
      <name val="Georgia"/>
      <family val="1"/>
    </font>
    <font>
      <b/>
      <u/>
      <sz val="8"/>
      <color indexed="9"/>
      <name val="Georgia"/>
      <family val="1"/>
    </font>
    <font>
      <sz val="8"/>
      <color rgb="FFC00000"/>
      <name val="Georgia"/>
      <family val="1"/>
    </font>
    <font>
      <b/>
      <sz val="11"/>
      <name val="Georgia"/>
      <family val="1"/>
    </font>
    <font>
      <sz val="8"/>
      <color rgb="FFFF0000"/>
      <name val="Georgia"/>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ADADA"/>
        <bgColor indexed="64"/>
      </patternFill>
    </fill>
    <fill>
      <patternFill patternType="solid">
        <fgColor theme="0" tint="-4.9989318521683403E-2"/>
        <bgColor indexed="64"/>
      </patternFill>
    </fill>
    <fill>
      <patternFill patternType="solid">
        <fgColor rgb="FF00455C"/>
        <bgColor indexed="64"/>
      </patternFill>
    </fill>
  </fills>
  <borders count="25">
    <border>
      <left/>
      <right/>
      <top/>
      <bottom/>
      <diagonal/>
    </border>
    <border>
      <left/>
      <right/>
      <top style="thin">
        <color indexed="9"/>
      </top>
      <bottom/>
      <diagonal/>
    </border>
    <border>
      <left/>
      <right/>
      <top style="thin">
        <color indexed="9"/>
      </top>
      <bottom style="thin">
        <color indexed="9"/>
      </bottom>
      <diagonal/>
    </border>
    <border>
      <left/>
      <right/>
      <top/>
      <bottom style="thin">
        <color indexed="9"/>
      </bottom>
      <diagonal/>
    </border>
    <border>
      <left style="thin">
        <color indexed="9"/>
      </left>
      <right style="thin">
        <color indexed="9"/>
      </right>
      <top/>
      <bottom/>
      <diagonal/>
    </border>
    <border>
      <left/>
      <right style="thin">
        <color indexed="9"/>
      </right>
      <top/>
      <bottom/>
      <diagonal/>
    </border>
    <border>
      <left style="thin">
        <color rgb="FFA7A9AC"/>
      </left>
      <right style="thin">
        <color rgb="FFA7A9AC"/>
      </right>
      <top style="thin">
        <color rgb="FFA7A9AC"/>
      </top>
      <bottom style="thin">
        <color rgb="FFA7A9AC"/>
      </bottom>
      <diagonal/>
    </border>
    <border>
      <left/>
      <right/>
      <top style="thin">
        <color indexed="9"/>
      </top>
      <bottom style="thin">
        <color theme="0"/>
      </bottom>
      <diagonal/>
    </border>
    <border>
      <left/>
      <right/>
      <top style="thin">
        <color theme="0"/>
      </top>
      <bottom style="thin">
        <color theme="0"/>
      </bottom>
      <diagonal/>
    </border>
    <border>
      <left style="thin">
        <color rgb="FFA7A9AC"/>
      </left>
      <right style="thin">
        <color rgb="FFA7A9AC"/>
      </right>
      <top style="thin">
        <color indexed="9"/>
      </top>
      <bottom style="thin">
        <color theme="0"/>
      </bottom>
      <diagonal/>
    </border>
    <border>
      <left style="thin">
        <color rgb="FF95A3AD"/>
      </left>
      <right style="thin">
        <color rgb="FF95A3AD"/>
      </right>
      <top style="thin">
        <color rgb="FF95A3AD"/>
      </top>
      <bottom style="thin">
        <color rgb="FF95A3AD"/>
      </bottom>
      <diagonal/>
    </border>
    <border>
      <left/>
      <right/>
      <top/>
      <bottom style="thin">
        <color rgb="FFA7A9AC"/>
      </bottom>
      <diagonal/>
    </border>
    <border>
      <left/>
      <right/>
      <top/>
      <bottom style="thin">
        <color theme="0"/>
      </bottom>
      <diagonal/>
    </border>
    <border>
      <left style="thin">
        <color indexed="9"/>
      </left>
      <right style="thin">
        <color theme="0"/>
      </right>
      <top/>
      <bottom style="thin">
        <color theme="0"/>
      </bottom>
      <diagonal/>
    </border>
    <border>
      <left style="thin">
        <color rgb="FFA7A9AC"/>
      </left>
      <right style="thin">
        <color rgb="FFA7A9AC"/>
      </right>
      <top/>
      <bottom/>
      <diagonal/>
    </border>
    <border>
      <left style="thin">
        <color rgb="FFA7A9AC"/>
      </left>
      <right/>
      <top style="thin">
        <color rgb="FFA7A9AC"/>
      </top>
      <bottom style="thin">
        <color rgb="FFA7A9AC"/>
      </bottom>
      <diagonal/>
    </border>
    <border>
      <left/>
      <right style="thin">
        <color rgb="FFA7A9AC"/>
      </right>
      <top style="thin">
        <color rgb="FFA7A9AC"/>
      </top>
      <bottom style="thin">
        <color rgb="FFA7A9AC"/>
      </bottom>
      <diagonal/>
    </border>
    <border>
      <left/>
      <right/>
      <top style="thin">
        <color rgb="FFA7A9AC"/>
      </top>
      <bottom style="thin">
        <color rgb="FFA7A9AC"/>
      </bottom>
      <diagonal/>
    </border>
    <border>
      <left style="thin">
        <color rgb="FFA7A9AC"/>
      </left>
      <right/>
      <top/>
      <bottom style="thin">
        <color rgb="FFA7A9AC"/>
      </bottom>
      <diagonal/>
    </border>
    <border>
      <left style="thin">
        <color rgb="FFA7A9AC"/>
      </left>
      <right/>
      <top/>
      <bottom/>
      <diagonal/>
    </border>
    <border>
      <left style="thin">
        <color rgb="FFA7A9AC"/>
      </left>
      <right style="thin">
        <color rgb="FFA7A9AC"/>
      </right>
      <top style="thin">
        <color rgb="FFA7A9AC"/>
      </top>
      <bottom/>
      <diagonal/>
    </border>
    <border>
      <left style="thin">
        <color rgb="FFA7A9AC"/>
      </left>
      <right style="thin">
        <color rgb="FFA7A9AC"/>
      </right>
      <top/>
      <bottom style="thin">
        <color rgb="FFA7A9AC"/>
      </bottom>
      <diagonal/>
    </border>
    <border>
      <left style="thin">
        <color rgb="FF95A3AD"/>
      </left>
      <right/>
      <top style="thin">
        <color rgb="FF95A3AD"/>
      </top>
      <bottom style="thin">
        <color rgb="FF95A3AD"/>
      </bottom>
      <diagonal/>
    </border>
    <border>
      <left/>
      <right/>
      <top style="thin">
        <color rgb="FF95A3AD"/>
      </top>
      <bottom style="thin">
        <color rgb="FF95A3AD"/>
      </bottom>
      <diagonal/>
    </border>
    <border>
      <left/>
      <right style="thin">
        <color rgb="FF95A3AD"/>
      </right>
      <top style="thin">
        <color rgb="FF95A3AD"/>
      </top>
      <bottom style="thin">
        <color rgb="FF95A3AD"/>
      </bottom>
      <diagonal/>
    </border>
  </borders>
  <cellStyleXfs count="114">
    <xf numFmtId="0" fontId="0" fillId="0" borderId="0">
      <alignment horizontal="left" wrapText="1"/>
    </xf>
    <xf numFmtId="165" fontId="9"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11" fillId="0" borderId="0" applyNumberFormat="0" applyFill="0" applyBorder="0" applyAlignment="0" applyProtection="0">
      <alignment vertical="top"/>
      <protection locked="0"/>
    </xf>
    <xf numFmtId="0" fontId="10" fillId="0" borderId="0"/>
    <xf numFmtId="9" fontId="9" fillId="0" borderId="0" applyFont="0" applyFill="0" applyBorder="0" applyAlignment="0" applyProtection="0"/>
    <xf numFmtId="0" fontId="10" fillId="0" borderId="0">
      <alignment horizontal="left" wrapText="1"/>
    </xf>
    <xf numFmtId="9" fontId="12" fillId="0" borderId="0" applyFont="0" applyFill="0" applyBorder="0" applyAlignment="0" applyProtection="0"/>
    <xf numFmtId="0" fontId="23" fillId="3" borderId="0"/>
    <xf numFmtId="0" fontId="28" fillId="0" borderId="0"/>
    <xf numFmtId="43" fontId="28" fillId="0" borderId="0" applyFont="0" applyFill="0" applyBorder="0" applyAlignment="0" applyProtection="0"/>
    <xf numFmtId="9" fontId="28" fillId="0" borderId="0" applyFont="0" applyFill="0" applyBorder="0" applyAlignment="0" applyProtection="0"/>
    <xf numFmtId="0" fontId="9" fillId="0" borderId="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29" fillId="0" borderId="0"/>
    <xf numFmtId="0" fontId="9" fillId="0" borderId="0"/>
    <xf numFmtId="0" fontId="30" fillId="0" borderId="0"/>
    <xf numFmtId="0" fontId="30" fillId="0" borderId="0"/>
    <xf numFmtId="0" fontId="30" fillId="0" borderId="0"/>
    <xf numFmtId="0" fontId="31" fillId="0" borderId="0"/>
    <xf numFmtId="0" fontId="9" fillId="0" borderId="0"/>
    <xf numFmtId="0" fontId="8" fillId="0" borderId="0"/>
    <xf numFmtId="0" fontId="9" fillId="0" borderId="0"/>
    <xf numFmtId="0" fontId="9" fillId="0" borderId="0">
      <alignment horizontal="left" wrapText="1"/>
    </xf>
    <xf numFmtId="0" fontId="7" fillId="0" borderId="0"/>
    <xf numFmtId="0" fontId="7" fillId="0" borderId="0"/>
    <xf numFmtId="0" fontId="7" fillId="0" borderId="0"/>
    <xf numFmtId="0" fontId="7" fillId="0" borderId="0"/>
    <xf numFmtId="9" fontId="32" fillId="0" borderId="0" applyFont="0" applyFill="0" applyBorder="0" applyAlignment="0" applyProtection="0"/>
    <xf numFmtId="9" fontId="33" fillId="0" borderId="0" applyFont="0" applyFill="0" applyBorder="0" applyAlignment="0" applyProtection="0"/>
    <xf numFmtId="0" fontId="33" fillId="0" borderId="0"/>
    <xf numFmtId="0" fontId="6" fillId="0" borderId="0"/>
    <xf numFmtId="0" fontId="6" fillId="0" borderId="0"/>
    <xf numFmtId="0" fontId="6" fillId="0" borderId="0"/>
    <xf numFmtId="0" fontId="6" fillId="0" borderId="0"/>
    <xf numFmtId="0" fontId="9" fillId="0" borderId="0"/>
    <xf numFmtId="0" fontId="5" fillId="0" borderId="0"/>
    <xf numFmtId="0" fontId="5" fillId="0" borderId="0"/>
    <xf numFmtId="0" fontId="5" fillId="0" borderId="0"/>
    <xf numFmtId="0" fontId="5" fillId="0" borderId="0"/>
    <xf numFmtId="0" fontId="33" fillId="0" borderId="0"/>
    <xf numFmtId="0" fontId="4" fillId="0" borderId="0"/>
    <xf numFmtId="0" fontId="4" fillId="0" borderId="0"/>
    <xf numFmtId="0" fontId="4" fillId="0" borderId="0"/>
    <xf numFmtId="0" fontId="4" fillId="0" borderId="0"/>
    <xf numFmtId="9" fontId="34"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9" fontId="37" fillId="0" borderId="0" applyFont="0" applyFill="0" applyBorder="0" applyAlignment="0" applyProtection="0"/>
    <xf numFmtId="0" fontId="9" fillId="0" borderId="0">
      <alignment horizontal="left" wrapText="1"/>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9" fillId="0" borderId="0" applyFont="0" applyFill="0" applyBorder="0" applyAlignment="0" applyProtection="0"/>
    <xf numFmtId="9" fontId="9" fillId="0" borderId="0" applyFont="0" applyFill="0" applyBorder="0" applyAlignment="0" applyProtection="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9" fontId="9" fillId="0" borderId="0" applyFont="0" applyFill="0" applyBorder="0" applyAlignment="0" applyProtection="0"/>
    <xf numFmtId="9" fontId="9" fillId="0" borderId="0" applyFont="0" applyFill="0" applyBorder="0" applyAlignment="0" applyProtection="0"/>
    <xf numFmtId="9" fontId="40"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12">
    <xf numFmtId="0" fontId="0" fillId="0" borderId="0" xfId="0" applyAlignment="1"/>
    <xf numFmtId="0" fontId="13" fillId="0" borderId="0" xfId="0" applyFont="1" applyAlignment="1"/>
    <xf numFmtId="0" fontId="14" fillId="0" borderId="0" xfId="0" applyFont="1" applyAlignment="1"/>
    <xf numFmtId="0" fontId="15" fillId="0" borderId="0" xfId="0" applyFont="1" applyAlignment="1">
      <alignment horizontal="left"/>
    </xf>
    <xf numFmtId="167" fontId="13" fillId="0" borderId="0" xfId="0" applyNumberFormat="1" applyFont="1" applyAlignment="1">
      <alignment horizontal="center"/>
    </xf>
    <xf numFmtId="0" fontId="13" fillId="0" borderId="0" xfId="0" applyFont="1" applyAlignment="1">
      <alignment horizontal="center"/>
    </xf>
    <xf numFmtId="0" fontId="16" fillId="0" borderId="0" xfId="0" applyFont="1" applyAlignment="1"/>
    <xf numFmtId="0" fontId="18" fillId="3" borderId="0" xfId="0" applyFont="1" applyFill="1" applyAlignment="1"/>
    <xf numFmtId="0" fontId="19" fillId="3" borderId="0" xfId="0" applyFont="1" applyFill="1" applyAlignment="1">
      <alignment horizontal="center"/>
    </xf>
    <xf numFmtId="0" fontId="19" fillId="3" borderId="0" xfId="0" applyFont="1" applyFill="1" applyAlignment="1"/>
    <xf numFmtId="0" fontId="18" fillId="3" borderId="0" xfId="0" applyFont="1" applyFill="1" applyAlignment="1">
      <alignment horizontal="left"/>
    </xf>
    <xf numFmtId="0" fontId="20" fillId="3" borderId="11" xfId="0" applyFont="1" applyFill="1" applyBorder="1" applyAlignment="1"/>
    <xf numFmtId="0" fontId="18" fillId="0" borderId="6" xfId="0" applyFont="1" applyBorder="1" applyAlignment="1">
      <alignment horizontal="left"/>
    </xf>
    <xf numFmtId="166" fontId="19" fillId="3" borderId="0" xfId="1" applyNumberFormat="1" applyFont="1" applyFill="1" applyAlignment="1">
      <alignment horizontal="center"/>
    </xf>
    <xf numFmtId="168" fontId="19" fillId="3" borderId="0" xfId="7" applyNumberFormat="1" applyFont="1" applyFill="1" applyAlignment="1">
      <alignment horizontal="center"/>
    </xf>
    <xf numFmtId="0" fontId="22" fillId="3" borderId="0" xfId="0" applyFont="1" applyFill="1" applyAlignment="1">
      <alignment horizontal="left"/>
    </xf>
    <xf numFmtId="0" fontId="13" fillId="3" borderId="0" xfId="0" applyFont="1" applyFill="1">
      <alignment horizontal="left" wrapText="1"/>
    </xf>
    <xf numFmtId="0" fontId="20" fillId="3" borderId="0" xfId="0" applyFont="1" applyFill="1" applyAlignment="1"/>
    <xf numFmtId="167" fontId="19" fillId="3" borderId="0" xfId="0" applyNumberFormat="1" applyFont="1" applyFill="1" applyAlignment="1">
      <alignment horizontal="center"/>
    </xf>
    <xf numFmtId="0" fontId="19" fillId="3" borderId="4" xfId="0" applyFont="1" applyFill="1" applyBorder="1" applyAlignment="1"/>
    <xf numFmtId="0" fontId="19" fillId="3" borderId="5" xfId="0" applyFont="1" applyFill="1" applyBorder="1" applyAlignment="1"/>
    <xf numFmtId="0" fontId="19" fillId="3" borderId="3" xfId="0" applyFont="1" applyFill="1" applyBorder="1" applyAlignment="1"/>
    <xf numFmtId="164" fontId="19" fillId="3" borderId="0" xfId="0" applyNumberFormat="1" applyFont="1" applyFill="1" applyAlignment="1"/>
    <xf numFmtId="170" fontId="19" fillId="3" borderId="0" xfId="0" applyNumberFormat="1" applyFont="1" applyFill="1" applyAlignment="1"/>
    <xf numFmtId="0" fontId="19" fillId="3" borderId="0" xfId="0" applyFont="1" applyFill="1" applyAlignment="1">
      <alignment wrapText="1"/>
    </xf>
    <xf numFmtId="168" fontId="19" fillId="3" borderId="0" xfId="7" applyNumberFormat="1" applyFont="1" applyFill="1"/>
    <xf numFmtId="168" fontId="18" fillId="3" borderId="0" xfId="7" applyNumberFormat="1" applyFont="1" applyFill="1" applyAlignment="1">
      <alignment horizontal="left"/>
    </xf>
    <xf numFmtId="0" fontId="23" fillId="3" borderId="0" xfId="0" applyFont="1" applyFill="1" applyAlignment="1"/>
    <xf numFmtId="0" fontId="23" fillId="3" borderId="0" xfId="0" applyFont="1" applyFill="1" applyAlignment="1">
      <alignment horizontal="left"/>
    </xf>
    <xf numFmtId="0" fontId="24" fillId="3" borderId="0" xfId="0" applyFont="1" applyFill="1" applyAlignment="1"/>
    <xf numFmtId="0" fontId="23" fillId="3" borderId="0" xfId="10"/>
    <xf numFmtId="0" fontId="17" fillId="3" borderId="0" xfId="0" applyFont="1" applyFill="1" applyAlignment="1"/>
    <xf numFmtId="0" fontId="16" fillId="3" borderId="0" xfId="0" applyFont="1" applyFill="1" applyAlignment="1"/>
    <xf numFmtId="0" fontId="13" fillId="3" borderId="0" xfId="0" applyFont="1" applyFill="1" applyAlignment="1"/>
    <xf numFmtId="0" fontId="26" fillId="3" borderId="0" xfId="0" applyFont="1" applyFill="1" applyAlignment="1"/>
    <xf numFmtId="0" fontId="18" fillId="4" borderId="6" xfId="0" applyFont="1" applyFill="1" applyBorder="1" applyAlignment="1"/>
    <xf numFmtId="0" fontId="19" fillId="3" borderId="13" xfId="0" applyFont="1" applyFill="1" applyBorder="1" applyAlignment="1"/>
    <xf numFmtId="0" fontId="27" fillId="3" borderId="0" xfId="0" applyFont="1" applyFill="1" applyAlignment="1"/>
    <xf numFmtId="0" fontId="19" fillId="3" borderId="0" xfId="0" applyFont="1" applyFill="1">
      <alignment horizontal="left" wrapText="1"/>
    </xf>
    <xf numFmtId="168" fontId="19" fillId="3" borderId="0" xfId="7" applyNumberFormat="1" applyFont="1" applyFill="1" applyAlignment="1"/>
    <xf numFmtId="0" fontId="38" fillId="3" borderId="0" xfId="0" applyFont="1" applyFill="1" applyAlignment="1"/>
    <xf numFmtId="172" fontId="19" fillId="3" borderId="0" xfId="0" applyNumberFormat="1" applyFont="1" applyFill="1" applyAlignment="1"/>
    <xf numFmtId="0" fontId="16" fillId="0" borderId="0" xfId="0" applyFont="1" applyAlignment="1" applyProtection="1">
      <protection locked="0"/>
    </xf>
    <xf numFmtId="171" fontId="19" fillId="4" borderId="6" xfId="0" applyNumberFormat="1" applyFont="1" applyFill="1" applyBorder="1" applyAlignment="1">
      <alignment horizontal="center"/>
    </xf>
    <xf numFmtId="171" fontId="19" fillId="0" borderId="6" xfId="1" applyNumberFormat="1" applyFont="1" applyBorder="1" applyAlignment="1"/>
    <xf numFmtId="0" fontId="39" fillId="0" borderId="6" xfId="61" applyFont="1" applyBorder="1" applyAlignment="1">
      <alignment horizontal="left"/>
    </xf>
    <xf numFmtId="173" fontId="19" fillId="3" borderId="0" xfId="0" applyNumberFormat="1" applyFont="1" applyFill="1" applyAlignment="1"/>
    <xf numFmtId="9" fontId="19" fillId="3" borderId="0" xfId="7" applyFont="1" applyFill="1" applyAlignment="1"/>
    <xf numFmtId="169" fontId="19" fillId="3" borderId="0" xfId="0" applyNumberFormat="1" applyFont="1" applyFill="1" applyAlignment="1"/>
    <xf numFmtId="0" fontId="19" fillId="3" borderId="0" xfId="7" applyNumberFormat="1" applyFont="1" applyFill="1" applyAlignment="1"/>
    <xf numFmtId="10" fontId="19" fillId="3" borderId="0" xfId="7" applyNumberFormat="1" applyFont="1" applyFill="1" applyAlignment="1"/>
    <xf numFmtId="2" fontId="19" fillId="3" borderId="0" xfId="7" applyNumberFormat="1" applyFont="1" applyFill="1" applyAlignment="1">
      <alignment horizontal="center"/>
    </xf>
    <xf numFmtId="10" fontId="19" fillId="3" borderId="0" xfId="7" applyNumberFormat="1" applyFont="1" applyFill="1" applyAlignment="1">
      <alignment horizontal="center"/>
    </xf>
    <xf numFmtId="0" fontId="23" fillId="0" borderId="0" xfId="0" applyFont="1" applyAlignment="1"/>
    <xf numFmtId="0" fontId="23" fillId="0" borderId="0" xfId="0" applyFont="1" applyAlignment="1">
      <alignment horizontal="left"/>
    </xf>
    <xf numFmtId="10" fontId="20" fillId="3" borderId="0" xfId="7" applyNumberFormat="1" applyFont="1" applyFill="1" applyAlignment="1"/>
    <xf numFmtId="171" fontId="19" fillId="3" borderId="0" xfId="0" applyNumberFormat="1" applyFont="1" applyFill="1" applyAlignment="1"/>
    <xf numFmtId="43" fontId="19" fillId="3" borderId="0" xfId="0" applyNumberFormat="1" applyFont="1" applyFill="1" applyAlignment="1"/>
    <xf numFmtId="168" fontId="19" fillId="3" borderId="0" xfId="7" applyNumberFormat="1" applyFont="1" applyFill="1" applyAlignment="1">
      <alignment horizontal="left"/>
    </xf>
    <xf numFmtId="2" fontId="18" fillId="3" borderId="0" xfId="7" applyNumberFormat="1" applyFont="1" applyFill="1" applyAlignment="1">
      <alignment horizontal="left"/>
    </xf>
    <xf numFmtId="2" fontId="19" fillId="3" borderId="0" xfId="7" applyNumberFormat="1" applyFont="1" applyFill="1" applyAlignment="1"/>
    <xf numFmtId="2" fontId="19" fillId="3" borderId="0" xfId="0" applyNumberFormat="1" applyFont="1" applyFill="1" applyAlignment="1"/>
    <xf numFmtId="10" fontId="19" fillId="3" borderId="0" xfId="0" applyNumberFormat="1" applyFont="1" applyFill="1" applyAlignment="1"/>
    <xf numFmtId="0" fontId="41" fillId="3" borderId="0" xfId="0" applyFont="1" applyFill="1" applyAlignment="1"/>
    <xf numFmtId="0" fontId="42" fillId="3" borderId="0" xfId="0" applyFont="1" applyFill="1" applyAlignment="1"/>
    <xf numFmtId="0" fontId="41" fillId="3" borderId="0" xfId="0" applyFont="1" applyFill="1" applyAlignment="1">
      <alignment horizontal="center"/>
    </xf>
    <xf numFmtId="0" fontId="43" fillId="3" borderId="0" xfId="0" applyFont="1" applyFill="1" applyAlignment="1"/>
    <xf numFmtId="0" fontId="44" fillId="3" borderId="0" xfId="5" applyFont="1" applyFill="1" applyAlignment="1" applyProtection="1">
      <alignment horizontal="center"/>
    </xf>
    <xf numFmtId="0" fontId="43" fillId="3" borderId="0" xfId="0" applyFont="1" applyFill="1" applyAlignment="1">
      <alignment horizontal="center"/>
    </xf>
    <xf numFmtId="0" fontId="45" fillId="3" borderId="0" xfId="0" applyFont="1" applyFill="1" applyAlignment="1"/>
    <xf numFmtId="0" fontId="41" fillId="0" borderId="0" xfId="0" applyFont="1" applyAlignment="1"/>
    <xf numFmtId="0" fontId="43" fillId="3" borderId="0" xfId="0" applyFont="1" applyFill="1" applyAlignment="1">
      <alignment wrapText="1"/>
    </xf>
    <xf numFmtId="0" fontId="46" fillId="3" borderId="0" xfId="0" applyFont="1" applyFill="1" applyAlignment="1">
      <alignment horizontal="center"/>
    </xf>
    <xf numFmtId="0" fontId="47" fillId="3" borderId="0" xfId="0" applyFont="1" applyFill="1" applyAlignment="1"/>
    <xf numFmtId="0" fontId="48" fillId="3" borderId="0" xfId="5" applyFont="1" applyFill="1" applyAlignment="1" applyProtection="1">
      <alignment horizontal="center"/>
    </xf>
    <xf numFmtId="0" fontId="21" fillId="6" borderId="6" xfId="0" applyFont="1" applyFill="1" applyBorder="1" applyAlignment="1">
      <alignment horizontal="center"/>
    </xf>
    <xf numFmtId="0" fontId="49" fillId="3" borderId="0" xfId="0" applyFont="1" applyFill="1" applyAlignment="1"/>
    <xf numFmtId="0" fontId="50" fillId="3" borderId="0" xfId="0" applyFont="1" applyFill="1" applyAlignment="1">
      <alignment horizontal="left"/>
    </xf>
    <xf numFmtId="0" fontId="51" fillId="3" borderId="0" xfId="0" applyFont="1" applyFill="1" applyAlignment="1"/>
    <xf numFmtId="0" fontId="52" fillId="6" borderId="6" xfId="0" applyFont="1" applyFill="1" applyBorder="1" applyAlignment="1"/>
    <xf numFmtId="0" fontId="53" fillId="6" borderId="6" xfId="0" applyFont="1" applyFill="1" applyBorder="1" applyAlignment="1">
      <alignment horizontal="center"/>
    </xf>
    <xf numFmtId="0" fontId="50" fillId="0" borderId="6" xfId="0" applyFont="1" applyBorder="1" applyAlignment="1">
      <alignment horizontal="left"/>
    </xf>
    <xf numFmtId="169" fontId="54" fillId="0" borderId="6" xfId="1" applyNumberFormat="1" applyFont="1" applyBorder="1" applyAlignment="1">
      <alignment horizontal="center"/>
    </xf>
    <xf numFmtId="169" fontId="54" fillId="4" borderId="6" xfId="1" applyNumberFormat="1" applyFont="1" applyFill="1" applyBorder="1" applyAlignment="1">
      <alignment horizontal="center"/>
    </xf>
    <xf numFmtId="169" fontId="54" fillId="0" borderId="6" xfId="70" applyNumberFormat="1" applyFont="1" applyBorder="1" applyAlignment="1">
      <alignment horizontal="center"/>
    </xf>
    <xf numFmtId="0" fontId="21" fillId="6" borderId="6" xfId="61" applyFont="1" applyFill="1" applyBorder="1" applyAlignment="1">
      <alignment horizontal="center"/>
    </xf>
    <xf numFmtId="0" fontId="51" fillId="3" borderId="0" xfId="0" applyFont="1" applyFill="1" applyAlignment="1">
      <alignment horizontal="left"/>
    </xf>
    <xf numFmtId="0" fontId="53" fillId="6" borderId="6" xfId="61" applyFont="1" applyFill="1" applyBorder="1" applyAlignment="1">
      <alignment horizontal="center"/>
    </xf>
    <xf numFmtId="0" fontId="54" fillId="3" borderId="0" xfId="0" applyFont="1" applyFill="1" applyAlignment="1"/>
    <xf numFmtId="0" fontId="55" fillId="6" borderId="6" xfId="61" applyFont="1" applyFill="1" applyBorder="1" applyAlignment="1"/>
    <xf numFmtId="169" fontId="54" fillId="0" borderId="6" xfId="15" applyNumberFormat="1" applyFont="1" applyBorder="1" applyAlignment="1">
      <alignment horizontal="center"/>
    </xf>
    <xf numFmtId="169" fontId="54" fillId="4" borderId="6" xfId="15" applyNumberFormat="1" applyFont="1" applyFill="1" applyBorder="1" applyAlignment="1">
      <alignment horizontal="center"/>
    </xf>
    <xf numFmtId="168" fontId="54" fillId="3" borderId="0" xfId="7" applyNumberFormat="1" applyFont="1" applyFill="1" applyAlignment="1"/>
    <xf numFmtId="2" fontId="54" fillId="3" borderId="0" xfId="0" applyNumberFormat="1" applyFont="1" applyFill="1" applyAlignment="1"/>
    <xf numFmtId="9" fontId="54" fillId="3" borderId="0" xfId="7" applyFont="1" applyFill="1" applyAlignment="1"/>
    <xf numFmtId="169" fontId="50" fillId="4" borderId="6" xfId="1" applyNumberFormat="1" applyFont="1" applyFill="1" applyBorder="1" applyAlignment="1">
      <alignment horizontal="left"/>
    </xf>
    <xf numFmtId="0" fontId="50" fillId="0" borderId="6" xfId="61" applyFont="1" applyBorder="1" applyAlignment="1">
      <alignment horizontal="left"/>
    </xf>
    <xf numFmtId="0" fontId="50" fillId="0" borderId="6" xfId="0" applyFont="1" applyBorder="1" applyAlignment="1"/>
    <xf numFmtId="169" fontId="54" fillId="3" borderId="0" xfId="0" applyNumberFormat="1" applyFont="1" applyFill="1" applyAlignment="1"/>
    <xf numFmtId="0" fontId="50" fillId="4" borderId="6" xfId="0" applyFont="1" applyFill="1" applyBorder="1" applyAlignment="1">
      <alignment horizontal="left"/>
    </xf>
    <xf numFmtId="170" fontId="54" fillId="3" borderId="0" xfId="0" applyNumberFormat="1" applyFont="1" applyFill="1" applyAlignment="1"/>
    <xf numFmtId="0" fontId="50" fillId="0" borderId="6" xfId="61" applyFont="1" applyBorder="1" applyAlignment="1">
      <alignment horizontal="center"/>
    </xf>
    <xf numFmtId="0" fontId="50" fillId="0" borderId="14" xfId="61" applyFont="1" applyBorder="1" applyAlignment="1">
      <alignment horizontal="center"/>
    </xf>
    <xf numFmtId="0" fontId="50" fillId="4" borderId="6" xfId="69" applyFont="1" applyFill="1" applyBorder="1" applyAlignment="1">
      <alignment horizontal="center"/>
    </xf>
    <xf numFmtId="0" fontId="54" fillId="3" borderId="0" xfId="0" applyFont="1" applyFill="1" applyAlignment="1">
      <alignment horizontal="left"/>
    </xf>
    <xf numFmtId="0" fontId="54" fillId="3" borderId="0" xfId="0" quotePrefix="1" applyFont="1" applyFill="1" applyAlignment="1"/>
    <xf numFmtId="0" fontId="51" fillId="0" borderId="0" xfId="0" applyFont="1" applyAlignment="1"/>
    <xf numFmtId="0" fontId="52" fillId="6" borderId="6" xfId="61" applyFont="1" applyFill="1" applyBorder="1" applyAlignment="1">
      <alignment horizontal="center"/>
    </xf>
    <xf numFmtId="171" fontId="54" fillId="0" borderId="6" xfId="0" applyNumberFormat="1" applyFont="1" applyBorder="1" applyAlignment="1">
      <alignment horizontal="center"/>
    </xf>
    <xf numFmtId="172" fontId="54" fillId="0" borderId="6" xfId="0" applyNumberFormat="1" applyFont="1" applyBorder="1" applyAlignment="1">
      <alignment horizontal="center"/>
    </xf>
    <xf numFmtId="172" fontId="54" fillId="4" borderId="6" xfId="0" applyNumberFormat="1" applyFont="1" applyFill="1" applyBorder="1" applyAlignment="1">
      <alignment horizontal="center"/>
    </xf>
    <xf numFmtId="0" fontId="52" fillId="6" borderId="6" xfId="69" applyFont="1" applyFill="1" applyBorder="1" applyAlignment="1"/>
    <xf numFmtId="0" fontId="53" fillId="6" borderId="6" xfId="69" applyFont="1" applyFill="1" applyBorder="1" applyAlignment="1">
      <alignment horizontal="center"/>
    </xf>
    <xf numFmtId="168" fontId="54" fillId="3" borderId="0" xfId="7" applyNumberFormat="1" applyFont="1" applyFill="1" applyAlignment="1">
      <alignment horizontal="center"/>
    </xf>
    <xf numFmtId="46" fontId="53" fillId="6" borderId="6" xfId="69" applyNumberFormat="1" applyFont="1" applyFill="1" applyBorder="1" applyAlignment="1">
      <alignment horizontal="center"/>
    </xf>
    <xf numFmtId="0" fontId="54" fillId="3" borderId="0" xfId="0" applyFont="1" applyFill="1" applyAlignment="1">
      <alignment horizontal="center"/>
    </xf>
    <xf numFmtId="0" fontId="55" fillId="6" borderId="6" xfId="0" applyFont="1" applyFill="1" applyBorder="1" applyAlignment="1">
      <alignment horizontal="center"/>
    </xf>
    <xf numFmtId="0" fontId="50" fillId="0" borderId="6" xfId="69" applyFont="1" applyBorder="1" applyAlignment="1">
      <alignment horizontal="left"/>
    </xf>
    <xf numFmtId="170" fontId="54" fillId="0" borderId="6" xfId="15" applyNumberFormat="1" applyFont="1" applyBorder="1" applyAlignment="1">
      <alignment horizontal="center"/>
    </xf>
    <xf numFmtId="167" fontId="50" fillId="0" borderId="6" xfId="69" applyNumberFormat="1" applyFont="1" applyBorder="1" applyAlignment="1">
      <alignment horizontal="left"/>
    </xf>
    <xf numFmtId="0" fontId="50" fillId="4" borderId="6" xfId="69" applyFont="1" applyFill="1" applyBorder="1" applyAlignment="1"/>
    <xf numFmtId="170" fontId="54" fillId="4" borderId="6" xfId="15" applyNumberFormat="1" applyFont="1" applyFill="1" applyBorder="1" applyAlignment="1">
      <alignment horizontal="center"/>
    </xf>
    <xf numFmtId="166" fontId="54" fillId="3" borderId="0" xfId="1" applyNumberFormat="1" applyFont="1" applyFill="1" applyAlignment="1">
      <alignment horizontal="center"/>
    </xf>
    <xf numFmtId="10" fontId="54" fillId="3" borderId="0" xfId="7" applyNumberFormat="1" applyFont="1" applyFill="1" applyAlignment="1"/>
    <xf numFmtId="10" fontId="54" fillId="3" borderId="0" xfId="7" applyNumberFormat="1" applyFont="1" applyFill="1" applyAlignment="1">
      <alignment horizontal="center"/>
    </xf>
    <xf numFmtId="2" fontId="54" fillId="3" borderId="0" xfId="7" applyNumberFormat="1" applyFont="1" applyFill="1" applyAlignment="1">
      <alignment horizontal="center"/>
    </xf>
    <xf numFmtId="2" fontId="41" fillId="3" borderId="0" xfId="0" applyNumberFormat="1" applyFont="1" applyFill="1" applyAlignment="1"/>
    <xf numFmtId="170" fontId="56" fillId="0" borderId="6" xfId="15" applyNumberFormat="1" applyFont="1" applyBorder="1" applyAlignment="1">
      <alignment horizontal="center"/>
    </xf>
    <xf numFmtId="170" fontId="56" fillId="4" borderId="6" xfId="15" applyNumberFormat="1" applyFont="1" applyFill="1" applyBorder="1" applyAlignment="1">
      <alignment horizontal="center"/>
    </xf>
    <xf numFmtId="0" fontId="50" fillId="0" borderId="10" xfId="61" applyFont="1" applyBorder="1" applyAlignment="1">
      <alignment horizontal="left"/>
    </xf>
    <xf numFmtId="170" fontId="54" fillId="0" borderId="10" xfId="61" applyNumberFormat="1" applyFont="1" applyBorder="1" applyAlignment="1">
      <alignment horizontal="center"/>
    </xf>
    <xf numFmtId="170" fontId="56" fillId="5" borderId="22" xfId="61" applyNumberFormat="1" applyFont="1" applyFill="1" applyBorder="1" applyAlignment="1"/>
    <xf numFmtId="170" fontId="56" fillId="5" borderId="23" xfId="61" applyNumberFormat="1" applyFont="1" applyFill="1" applyBorder="1" applyAlignment="1"/>
    <xf numFmtId="170" fontId="56" fillId="5" borderId="24" xfId="61" applyNumberFormat="1" applyFont="1" applyFill="1" applyBorder="1" applyAlignment="1"/>
    <xf numFmtId="170" fontId="56" fillId="5" borderId="22" xfId="61" applyNumberFormat="1" applyFont="1" applyFill="1" applyBorder="1" applyAlignment="1">
      <alignment horizontal="center"/>
    </xf>
    <xf numFmtId="170" fontId="56" fillId="5" borderId="23" xfId="61" applyNumberFormat="1" applyFont="1" applyFill="1" applyBorder="1" applyAlignment="1">
      <alignment horizontal="center"/>
    </xf>
    <xf numFmtId="0" fontId="50" fillId="4" borderId="10" xfId="61" applyFont="1" applyFill="1" applyBorder="1" applyAlignment="1"/>
    <xf numFmtId="170" fontId="54" fillId="4" borderId="10" xfId="61" applyNumberFormat="1" applyFont="1" applyFill="1" applyBorder="1" applyAlignment="1">
      <alignment horizontal="center"/>
    </xf>
    <xf numFmtId="0" fontId="57" fillId="6" borderId="6" xfId="0" applyFont="1" applyFill="1" applyBorder="1" applyAlignment="1">
      <alignment horizontal="left"/>
    </xf>
    <xf numFmtId="0" fontId="54" fillId="0" borderId="0" xfId="0" applyFont="1" applyAlignment="1"/>
    <xf numFmtId="0" fontId="55" fillId="6" borderId="6" xfId="0" applyFont="1" applyFill="1" applyBorder="1" applyAlignment="1">
      <alignment horizontal="left"/>
    </xf>
    <xf numFmtId="0" fontId="50" fillId="3" borderId="0" xfId="0" applyFont="1" applyFill="1" applyAlignment="1">
      <alignment horizontal="center"/>
    </xf>
    <xf numFmtId="170" fontId="54" fillId="2" borderId="0" xfId="0" applyNumberFormat="1" applyFont="1" applyFill="1" applyAlignment="1">
      <alignment horizontal="center"/>
    </xf>
    <xf numFmtId="170" fontId="54" fillId="2" borderId="6" xfId="1" applyNumberFormat="1" applyFont="1" applyFill="1" applyBorder="1" applyAlignment="1">
      <alignment horizontal="center"/>
    </xf>
    <xf numFmtId="170" fontId="54" fillId="0" borderId="6" xfId="61" applyNumberFormat="1" applyFont="1" applyBorder="1" applyAlignment="1">
      <alignment horizontal="center"/>
    </xf>
    <xf numFmtId="167" fontId="50" fillId="0" borderId="6" xfId="0" applyNumberFormat="1" applyFont="1" applyBorder="1" applyAlignment="1">
      <alignment horizontal="left"/>
    </xf>
    <xf numFmtId="0" fontId="50" fillId="4" borderId="6" xfId="0" applyFont="1" applyFill="1" applyBorder="1" applyAlignment="1"/>
    <xf numFmtId="170" fontId="54" fillId="0" borderId="3" xfId="0" applyNumberFormat="1" applyFont="1" applyBorder="1" applyAlignment="1">
      <alignment horizontal="center"/>
    </xf>
    <xf numFmtId="170" fontId="54" fillId="4" borderId="6" xfId="1" applyNumberFormat="1" applyFont="1" applyFill="1" applyBorder="1" applyAlignment="1">
      <alignment horizontal="center"/>
    </xf>
    <xf numFmtId="166" fontId="54" fillId="3" borderId="0" xfId="1" applyNumberFormat="1" applyFont="1" applyFill="1" applyAlignment="1">
      <alignment horizontal="right"/>
    </xf>
    <xf numFmtId="0" fontId="58" fillId="3" borderId="0" xfId="0" applyFont="1" applyFill="1" applyAlignment="1"/>
    <xf numFmtId="169" fontId="54" fillId="0" borderId="6" xfId="15" applyNumberFormat="1" applyFont="1" applyFill="1" applyBorder="1" applyAlignment="1">
      <alignment horizontal="center"/>
    </xf>
    <xf numFmtId="169" fontId="56" fillId="4" borderId="6" xfId="15" applyNumberFormat="1" applyFont="1" applyFill="1" applyBorder="1" applyAlignment="1">
      <alignment horizontal="center"/>
    </xf>
    <xf numFmtId="0" fontId="55" fillId="6" borderId="6" xfId="61" applyFont="1" applyFill="1" applyBorder="1" applyAlignment="1">
      <alignment horizontal="center"/>
    </xf>
    <xf numFmtId="0" fontId="50" fillId="4" borderId="6" xfId="61" applyFont="1" applyFill="1" applyBorder="1" applyAlignment="1">
      <alignment horizontal="left"/>
    </xf>
    <xf numFmtId="167" fontId="54" fillId="4" borderId="6" xfId="61" applyNumberFormat="1" applyFont="1" applyFill="1" applyBorder="1" applyAlignment="1">
      <alignment horizontal="center"/>
    </xf>
    <xf numFmtId="0" fontId="50" fillId="3" borderId="0" xfId="0" applyFont="1" applyFill="1" applyAlignment="1"/>
    <xf numFmtId="0" fontId="41" fillId="3" borderId="0" xfId="0" applyFont="1" applyFill="1">
      <alignment horizontal="left" wrapText="1"/>
    </xf>
    <xf numFmtId="167" fontId="54" fillId="3" borderId="0" xfId="0" applyNumberFormat="1" applyFont="1" applyFill="1" applyAlignment="1"/>
    <xf numFmtId="0" fontId="59" fillId="3" borderId="0" xfId="0" applyFont="1" applyFill="1" applyAlignment="1"/>
    <xf numFmtId="0" fontId="54" fillId="3" borderId="12" xfId="0" applyFont="1" applyFill="1" applyBorder="1" applyAlignment="1"/>
    <xf numFmtId="0" fontId="54" fillId="0" borderId="8" xfId="0" applyFont="1" applyBorder="1" applyAlignment="1">
      <alignment wrapText="1"/>
    </xf>
    <xf numFmtId="10" fontId="50" fillId="0" borderId="6" xfId="0" applyNumberFormat="1" applyFont="1" applyBorder="1" applyAlignment="1">
      <alignment horizontal="left"/>
    </xf>
    <xf numFmtId="10" fontId="54" fillId="0" borderId="6" xfId="41" applyNumberFormat="1" applyFont="1" applyBorder="1" applyAlignment="1">
      <alignment horizontal="center"/>
    </xf>
    <xf numFmtId="10" fontId="54" fillId="0" borderId="8" xfId="0" applyNumberFormat="1" applyFont="1" applyBorder="1" applyAlignment="1">
      <alignment wrapText="1"/>
    </xf>
    <xf numFmtId="10" fontId="54" fillId="0" borderId="6" xfId="7" applyNumberFormat="1" applyFont="1" applyBorder="1" applyAlignment="1">
      <alignment horizontal="center"/>
    </xf>
    <xf numFmtId="10" fontId="50" fillId="4" borderId="6" xfId="0" applyNumberFormat="1" applyFont="1" applyFill="1" applyBorder="1" applyAlignment="1"/>
    <xf numFmtId="10" fontId="54" fillId="4" borderId="6" xfId="41" applyNumberFormat="1" applyFont="1" applyFill="1" applyBorder="1" applyAlignment="1">
      <alignment horizontal="center"/>
    </xf>
    <xf numFmtId="10" fontId="54" fillId="4" borderId="6" xfId="7" applyNumberFormat="1" applyFont="1" applyFill="1" applyBorder="1" applyAlignment="1">
      <alignment horizontal="center"/>
    </xf>
    <xf numFmtId="10" fontId="54" fillId="0" borderId="8" xfId="0" applyNumberFormat="1" applyFont="1" applyBorder="1" applyAlignment="1"/>
    <xf numFmtId="0" fontId="53" fillId="6" borderId="10" xfId="0" applyFont="1" applyFill="1" applyBorder="1" applyAlignment="1">
      <alignment horizontal="center"/>
    </xf>
    <xf numFmtId="0" fontId="50" fillId="0" borderId="6" xfId="69" applyFont="1" applyBorder="1">
      <alignment horizontal="left" wrapText="1"/>
    </xf>
    <xf numFmtId="170" fontId="54" fillId="0" borderId="6" xfId="15" applyNumberFormat="1" applyFont="1" applyBorder="1" applyAlignment="1">
      <alignment horizontal="center" wrapText="1"/>
    </xf>
    <xf numFmtId="1" fontId="55" fillId="6" borderId="6" xfId="0" applyNumberFormat="1" applyFont="1" applyFill="1" applyBorder="1" applyAlignment="1">
      <alignment horizontal="center"/>
    </xf>
    <xf numFmtId="0" fontId="54" fillId="0" borderId="2" xfId="0" applyFont="1" applyBorder="1" applyAlignment="1"/>
    <xf numFmtId="49" fontId="54" fillId="0" borderId="6" xfId="0" applyNumberFormat="1" applyFont="1" applyBorder="1" applyAlignment="1">
      <alignment horizontal="center"/>
    </xf>
    <xf numFmtId="49" fontId="54" fillId="4" borderId="6" xfId="0" applyNumberFormat="1" applyFont="1" applyFill="1" applyBorder="1" applyAlignment="1">
      <alignment horizontal="center"/>
    </xf>
    <xf numFmtId="1" fontId="50" fillId="4" borderId="6" xfId="0" applyNumberFormat="1" applyFont="1" applyFill="1" applyBorder="1" applyAlignment="1">
      <alignment horizontal="left"/>
    </xf>
    <xf numFmtId="49" fontId="54" fillId="4" borderId="6" xfId="0" applyNumberFormat="1" applyFont="1" applyFill="1" applyBorder="1" applyAlignment="1">
      <alignment horizontal="right"/>
    </xf>
    <xf numFmtId="0" fontId="54" fillId="0" borderId="1" xfId="0" applyFont="1" applyBorder="1" applyAlignment="1"/>
    <xf numFmtId="49" fontId="54" fillId="0" borderId="6" xfId="0" quotePrefix="1" applyNumberFormat="1" applyFont="1" applyBorder="1" applyAlignment="1">
      <alignment horizontal="center"/>
    </xf>
    <xf numFmtId="0" fontId="54" fillId="0" borderId="9" xfId="0" applyFont="1" applyBorder="1" applyAlignment="1"/>
    <xf numFmtId="0" fontId="54" fillId="0" borderId="7" xfId="0" applyFont="1" applyBorder="1" applyAlignment="1"/>
    <xf numFmtId="49" fontId="54" fillId="0" borderId="6" xfId="0" applyNumberFormat="1" applyFont="1" applyBorder="1" applyAlignment="1">
      <alignment horizontal="center" vertical="center"/>
    </xf>
    <xf numFmtId="49" fontId="54" fillId="4" borderId="6" xfId="0" applyNumberFormat="1" applyFont="1" applyFill="1" applyBorder="1" applyAlignment="1">
      <alignment horizontal="center" vertical="center"/>
    </xf>
    <xf numFmtId="0" fontId="54" fillId="0" borderId="6" xfId="0" applyFont="1" applyBorder="1" applyAlignment="1">
      <alignment horizontal="center"/>
    </xf>
    <xf numFmtId="0" fontId="56" fillId="3" borderId="0" xfId="0" applyFont="1" applyFill="1" applyAlignment="1"/>
    <xf numFmtId="0" fontId="54" fillId="3" borderId="0" xfId="0" applyFont="1" applyFill="1" applyAlignment="1">
      <alignment wrapText="1"/>
    </xf>
    <xf numFmtId="0" fontId="50" fillId="3" borderId="0" xfId="10" applyFont="1"/>
    <xf numFmtId="2" fontId="54" fillId="0" borderId="6" xfId="61" applyNumberFormat="1" applyFont="1" applyBorder="1" applyAlignment="1">
      <alignment horizontal="center"/>
    </xf>
    <xf numFmtId="2" fontId="60" fillId="0" borderId="6" xfId="61" applyNumberFormat="1" applyFont="1" applyBorder="1" applyAlignment="1">
      <alignment horizontal="center"/>
    </xf>
    <xf numFmtId="2" fontId="56" fillId="0" borderId="6" xfId="61" applyNumberFormat="1" applyFont="1" applyBorder="1" applyAlignment="1">
      <alignment horizontal="center"/>
    </xf>
    <xf numFmtId="2" fontId="50" fillId="4" borderId="6" xfId="61" applyNumberFormat="1" applyFont="1" applyFill="1" applyBorder="1" applyAlignment="1">
      <alignment horizontal="left"/>
    </xf>
    <xf numFmtId="2" fontId="54" fillId="4" borderId="6" xfId="61" applyNumberFormat="1" applyFont="1" applyFill="1" applyBorder="1" applyAlignment="1">
      <alignment horizontal="center"/>
    </xf>
    <xf numFmtId="2" fontId="60" fillId="4" borderId="6" xfId="61" applyNumberFormat="1" applyFont="1" applyFill="1" applyBorder="1" applyAlignment="1">
      <alignment horizontal="center"/>
    </xf>
    <xf numFmtId="1" fontId="54" fillId="4" borderId="6" xfId="61" applyNumberFormat="1" applyFont="1" applyFill="1" applyBorder="1" applyAlignment="1">
      <alignment horizontal="center"/>
    </xf>
    <xf numFmtId="2" fontId="58" fillId="4" borderId="6" xfId="61" applyNumberFormat="1" applyFont="1" applyFill="1" applyBorder="1" applyAlignment="1">
      <alignment horizontal="center"/>
    </xf>
    <xf numFmtId="0" fontId="25" fillId="3" borderId="0" xfId="0" applyFont="1" applyFill="1" applyAlignment="1">
      <alignment horizontal="right"/>
    </xf>
    <xf numFmtId="0" fontId="25" fillId="3" borderId="0" xfId="0" applyFont="1" applyFill="1" applyAlignment="1" applyProtection="1">
      <alignment horizontal="right"/>
      <protection locked="0"/>
    </xf>
    <xf numFmtId="0" fontId="41" fillId="3" borderId="0" xfId="0" applyFont="1" applyFill="1" applyAlignment="1">
      <alignment horizontal="left" vertical="top" wrapText="1"/>
    </xf>
    <xf numFmtId="0" fontId="54" fillId="5" borderId="19" xfId="0" applyFont="1" applyFill="1" applyBorder="1" applyAlignment="1">
      <alignment horizontal="center" vertical="center" wrapText="1"/>
    </xf>
    <xf numFmtId="0" fontId="54" fillId="5" borderId="0" xfId="0" applyFont="1" applyFill="1" applyAlignment="1">
      <alignment horizontal="center" vertical="center" wrapText="1"/>
    </xf>
    <xf numFmtId="170" fontId="54" fillId="5" borderId="20" xfId="61" applyNumberFormat="1" applyFont="1" applyFill="1" applyBorder="1" applyAlignment="1">
      <alignment horizontal="center"/>
    </xf>
    <xf numFmtId="170" fontId="54" fillId="5" borderId="14" xfId="61" applyNumberFormat="1" applyFont="1" applyFill="1" applyBorder="1" applyAlignment="1">
      <alignment horizontal="center"/>
    </xf>
    <xf numFmtId="170" fontId="54" fillId="5" borderId="21" xfId="61" applyNumberFormat="1" applyFont="1" applyFill="1" applyBorder="1" applyAlignment="1">
      <alignment horizontal="center"/>
    </xf>
    <xf numFmtId="0" fontId="54" fillId="3" borderId="0" xfId="0" applyFont="1" applyFill="1">
      <alignment horizontal="left" wrapText="1"/>
    </xf>
    <xf numFmtId="0" fontId="19" fillId="3" borderId="0" xfId="0" applyFont="1" applyFill="1" applyAlignment="1">
      <alignment horizontal="left"/>
    </xf>
    <xf numFmtId="0" fontId="55" fillId="6" borderId="18" xfId="61" applyFont="1" applyFill="1" applyBorder="1" applyAlignment="1">
      <alignment horizontal="center"/>
    </xf>
    <xf numFmtId="0" fontId="55" fillId="6" borderId="11" xfId="61" applyFont="1" applyFill="1" applyBorder="1" applyAlignment="1">
      <alignment horizontal="center"/>
    </xf>
    <xf numFmtId="0" fontId="55" fillId="6" borderId="15" xfId="61" applyFont="1" applyFill="1" applyBorder="1" applyAlignment="1">
      <alignment horizontal="center"/>
    </xf>
    <xf numFmtId="0" fontId="55" fillId="6" borderId="17" xfId="61" applyFont="1" applyFill="1" applyBorder="1" applyAlignment="1">
      <alignment horizontal="center"/>
    </xf>
    <xf numFmtId="0" fontId="55" fillId="6" borderId="16" xfId="61" applyFont="1" applyFill="1" applyBorder="1" applyAlignment="1">
      <alignment horizontal="center"/>
    </xf>
  </cellXfs>
  <cellStyles count="114">
    <cellStyle name="Comma" xfId="1" builtinId="3"/>
    <cellStyle name="Comma 12" xfId="2" xr:uid="{00000000-0005-0000-0000-000001000000}"/>
    <cellStyle name="Comma 12 2" xfId="15" xr:uid="{00000000-0005-0000-0000-000002000000}"/>
    <cellStyle name="Comma 12 2 2" xfId="75" xr:uid="{E5CE49F8-28A5-46F6-A1A7-ACC5865942A3}"/>
    <cellStyle name="Comma 12 3" xfId="71" xr:uid="{718FBA30-B59F-49B1-936A-4FD81A804DAE}"/>
    <cellStyle name="Comma 13" xfId="16" xr:uid="{00000000-0005-0000-0000-000003000000}"/>
    <cellStyle name="Comma 13 2" xfId="76" xr:uid="{CB44DDFE-EC15-4507-961A-9C43642ADA84}"/>
    <cellStyle name="Comma 2" xfId="12" xr:uid="{00000000-0005-0000-0000-000004000000}"/>
    <cellStyle name="Comma 2 2" xfId="74" xr:uid="{897040F2-FFF1-4FA2-A177-719837D3E66D}"/>
    <cellStyle name="Comma 3" xfId="70" xr:uid="{FA65A86C-4947-43F7-9C65-B69AA356DBF7}"/>
    <cellStyle name="Comma 6" xfId="3" xr:uid="{00000000-0005-0000-0000-000005000000}"/>
    <cellStyle name="Comma 6 2" xfId="17" xr:uid="{00000000-0005-0000-0000-000006000000}"/>
    <cellStyle name="Comma 6 2 2" xfId="77" xr:uid="{28BAD2B3-370B-464A-AC72-4F61294873D7}"/>
    <cellStyle name="Comma 6 3" xfId="72" xr:uid="{F34B0C98-0F90-49C4-B9CD-F4F46925D432}"/>
    <cellStyle name="Comma 7" xfId="4" xr:uid="{00000000-0005-0000-0000-000007000000}"/>
    <cellStyle name="Comma 7 2" xfId="18" xr:uid="{00000000-0005-0000-0000-000008000000}"/>
    <cellStyle name="Comma 7 2 2" xfId="78" xr:uid="{EFC07DA2-9500-446C-8508-3943F5E8DA17}"/>
    <cellStyle name="Comma 7 3" xfId="73" xr:uid="{EF2093AC-02D5-4A85-8E2E-0450054F5219}"/>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Hyperlink" xfId="5" builtinId="8"/>
    <cellStyle name="Normal" xfId="0" builtinId="0"/>
    <cellStyle name="Normal 10" xfId="6" xr:uid="{00000000-0005-0000-0000-000011000000}"/>
    <cellStyle name="Normal 10 2" xfId="19" xr:uid="{00000000-0005-0000-0000-000012000000}"/>
    <cellStyle name="Normal 11" xfId="61" xr:uid="{00000000-0005-0000-0000-000013000000}"/>
    <cellStyle name="Normal 12" xfId="69" xr:uid="{B4A3F179-1C90-46F1-8D15-F75B1A726FC8}"/>
    <cellStyle name="Normal 13" xfId="20" xr:uid="{00000000-0005-0000-0000-000014000000}"/>
    <cellStyle name="Normal 16" xfId="21" xr:uid="{00000000-0005-0000-0000-000015000000}"/>
    <cellStyle name="Normal 19" xfId="22" xr:uid="{00000000-0005-0000-0000-000016000000}"/>
    <cellStyle name="Normal 2" xfId="14" xr:uid="{00000000-0005-0000-0000-000017000000}"/>
    <cellStyle name="Normal 2 2" xfId="23" xr:uid="{00000000-0005-0000-0000-000018000000}"/>
    <cellStyle name="Normal 2 2 2" xfId="48" xr:uid="{00000000-0005-0000-0000-000019000000}"/>
    <cellStyle name="Normal 2 3" xfId="24" xr:uid="{00000000-0005-0000-0000-00001A000000}"/>
    <cellStyle name="Normal 2 3 2" xfId="37" xr:uid="{00000000-0005-0000-0000-00001B000000}"/>
    <cellStyle name="Normal 2 3 2 2" xfId="83" xr:uid="{B1B2C4D0-4ECA-4ECD-A8C6-2FAF2D9226B1}"/>
    <cellStyle name="Normal 2 3 3" xfId="49" xr:uid="{00000000-0005-0000-0000-00001C000000}"/>
    <cellStyle name="Normal 2 3 3 2" xfId="94" xr:uid="{BB93E41C-3921-459C-95BD-DF38E722459A}"/>
    <cellStyle name="Normal 2 3 4" xfId="79" xr:uid="{51D7E104-E4AA-4E3C-BCA3-145C49540A95}"/>
    <cellStyle name="Normal 2 4" xfId="25" xr:uid="{00000000-0005-0000-0000-00001D000000}"/>
    <cellStyle name="Normal 2 4 2" xfId="38" xr:uid="{00000000-0005-0000-0000-00001E000000}"/>
    <cellStyle name="Normal 2 4 2 2" xfId="84" xr:uid="{C3F0E725-0830-43EE-A03D-6EE932C72810}"/>
    <cellStyle name="Normal 2 4 3" xfId="50" xr:uid="{00000000-0005-0000-0000-00001F000000}"/>
    <cellStyle name="Normal 2 4 3 2" xfId="95" xr:uid="{37A68429-547F-485A-ADCC-1B0A1E43A1D4}"/>
    <cellStyle name="Normal 2 4 4" xfId="80" xr:uid="{1641FE48-8A76-43F6-A69D-809BF2BFBC01}"/>
    <cellStyle name="Normal 2 5" xfId="26" xr:uid="{00000000-0005-0000-0000-000020000000}"/>
    <cellStyle name="Normal 2 5 2" xfId="39" xr:uid="{00000000-0005-0000-0000-000021000000}"/>
    <cellStyle name="Normal 2 5 2 2" xfId="85" xr:uid="{C44D6F8D-BD8A-4BE2-80C0-C43C25DBC748}"/>
    <cellStyle name="Normal 2 5 3" xfId="51" xr:uid="{00000000-0005-0000-0000-000022000000}"/>
    <cellStyle name="Normal 2 5 3 2" xfId="96" xr:uid="{FEF6BB13-6E8F-4A20-A25E-C30373446ABC}"/>
    <cellStyle name="Normal 2 5 4" xfId="81" xr:uid="{8B5C3FDF-B857-4EEE-A24B-D0E0E73475EB}"/>
    <cellStyle name="Normal 2_Master ABS MBS" xfId="27" xr:uid="{00000000-0005-0000-0000-000023000000}"/>
    <cellStyle name="Normal 3" xfId="11" xr:uid="{00000000-0005-0000-0000-000024000000}"/>
    <cellStyle name="Normal 3 2" xfId="29" xr:uid="{00000000-0005-0000-0000-000025000000}"/>
    <cellStyle name="Normal 3 2 2" xfId="46" xr:uid="{00000000-0005-0000-0000-000026000000}"/>
    <cellStyle name="Normal 3 2 2 2" xfId="92" xr:uid="{9F144F24-E8AB-43E2-AA9A-548718CE1693}"/>
    <cellStyle name="Normal 3 2 3" xfId="56" xr:uid="{00000000-0005-0000-0000-000027000000}"/>
    <cellStyle name="Normal 3 2 3 2" xfId="101" xr:uid="{140CFD8F-F4EF-4BA9-8723-52DFB6F579B5}"/>
    <cellStyle name="Normal 3 2 4" xfId="108" xr:uid="{0C8B5CC8-D9F5-4A90-AEB8-8B7B5F44B536}"/>
    <cellStyle name="Normal 3 2 5" xfId="112" xr:uid="{6983798D-1C6A-4144-98B6-9A3B69FD6F35}"/>
    <cellStyle name="Normal 3 3" xfId="30" xr:uid="{00000000-0005-0000-0000-000028000000}"/>
    <cellStyle name="Normal 3 4" xfId="31" xr:uid="{00000000-0005-0000-0000-000029000000}"/>
    <cellStyle name="Normal 3 5" xfId="28" xr:uid="{00000000-0005-0000-0000-00002A000000}"/>
    <cellStyle name="Normal 3 6" xfId="44" xr:uid="{00000000-0005-0000-0000-00002B000000}"/>
    <cellStyle name="Normal 3 6 2" xfId="90" xr:uid="{42643DB2-FA82-4E7C-AA0E-617377DFD7E5}"/>
    <cellStyle name="Normal 3 7" xfId="54" xr:uid="{00000000-0005-0000-0000-00002C000000}"/>
    <cellStyle name="Normal 3 7 2" xfId="99" xr:uid="{1BF9A67E-21CA-4CA3-B8BC-F78887A6B810}"/>
    <cellStyle name="Normal 3 8" xfId="106" xr:uid="{EBC404EF-6733-4791-87EB-9C46E73FBFE0}"/>
    <cellStyle name="Normal 3 9" xfId="110" xr:uid="{B156A46F-1F24-4148-AB88-DA79986F8E42}"/>
    <cellStyle name="Normal 39" xfId="32" xr:uid="{00000000-0005-0000-0000-00002D000000}"/>
    <cellStyle name="Normal 4" xfId="33" xr:uid="{00000000-0005-0000-0000-00002E000000}"/>
    <cellStyle name="Normal 4 2" xfId="47" xr:uid="{00000000-0005-0000-0000-00002F000000}"/>
    <cellStyle name="Normal 4 2 2" xfId="57" xr:uid="{00000000-0005-0000-0000-000030000000}"/>
    <cellStyle name="Normal 4 2 2 2" xfId="102" xr:uid="{8BC31ECD-4A5C-4A36-89DB-96F80E1B52A1}"/>
    <cellStyle name="Normal 4 2 3" xfId="93" xr:uid="{E21F08C0-89DE-4E38-BAF7-51CB8368B4BC}"/>
    <cellStyle name="Normal 4 2 4" xfId="109" xr:uid="{64D04B4C-959B-4240-BE19-E8630BF65544}"/>
    <cellStyle name="Normal 4 2 5" xfId="113" xr:uid="{CBEF61A6-1261-448D-8FD1-688FD18D688F}"/>
    <cellStyle name="Normal 4 3" xfId="45" xr:uid="{00000000-0005-0000-0000-000031000000}"/>
    <cellStyle name="Normal 4 3 2" xfId="91" xr:uid="{A9CF3991-1777-472A-9AD3-7044EB8E939E}"/>
    <cellStyle name="Normal 4 4" xfId="55" xr:uid="{00000000-0005-0000-0000-000032000000}"/>
    <cellStyle name="Normal 4 4 2" xfId="100" xr:uid="{0FFC9AF3-1035-48FC-8B5A-6AC602E5A3F2}"/>
    <cellStyle name="Normal 4 5" xfId="107" xr:uid="{59B7CE33-8274-43B5-903C-A43CDF692D55}"/>
    <cellStyle name="Normal 4 6" xfId="111" xr:uid="{70A4BF36-0967-4D6D-AC8E-25EF92AC3B52}"/>
    <cellStyle name="Normal 40" xfId="34" xr:uid="{00000000-0005-0000-0000-000033000000}"/>
    <cellStyle name="Normal 40 2" xfId="40" xr:uid="{00000000-0005-0000-0000-000034000000}"/>
    <cellStyle name="Normal 40 2 2" xfId="86" xr:uid="{BF99DB78-CD01-445C-A2DB-E89D5D2E8D24}"/>
    <cellStyle name="Normal 40 3" xfId="52" xr:uid="{00000000-0005-0000-0000-000035000000}"/>
    <cellStyle name="Normal 40 3 2" xfId="97" xr:uid="{BE08DA13-E212-481F-8FC0-03D85EE79C4E}"/>
    <cellStyle name="Normal 40 4" xfId="82" xr:uid="{69F2850B-6A76-488B-B890-754012C06B70}"/>
    <cellStyle name="Normal 5" xfId="43" xr:uid="{00000000-0005-0000-0000-000036000000}"/>
    <cellStyle name="Normal 5 2" xfId="89" xr:uid="{E6862BF1-6B1F-4F4C-BB74-A69E697FEAB3}"/>
    <cellStyle name="Normal 6" xfId="53" xr:uid="{00000000-0005-0000-0000-000037000000}"/>
    <cellStyle name="Normal 6 2" xfId="98" xr:uid="{CC8907A8-43C4-4825-ACD7-895C6D34EDC5}"/>
    <cellStyle name="Normal 7" xfId="35" xr:uid="{00000000-0005-0000-0000-000038000000}"/>
    <cellStyle name="Normal 8" xfId="59" xr:uid="{00000000-0005-0000-0000-000039000000}"/>
    <cellStyle name="Normal 9" xfId="60" xr:uid="{00000000-0005-0000-0000-00003A000000}"/>
    <cellStyle name="Percent" xfId="7" builtinId="5"/>
    <cellStyle name="Percent 2" xfId="9" xr:uid="{00000000-0005-0000-0000-00003C000000}"/>
    <cellStyle name="Percent 3" xfId="13" xr:uid="{00000000-0005-0000-0000-00003D000000}"/>
    <cellStyle name="Percent 4" xfId="41" xr:uid="{00000000-0005-0000-0000-00003E000000}"/>
    <cellStyle name="Percent 4 2" xfId="87" xr:uid="{09A9B02D-4B3B-4792-AF1F-E1EFB5750428}"/>
    <cellStyle name="Percent 5" xfId="42" xr:uid="{00000000-0005-0000-0000-00003F000000}"/>
    <cellStyle name="Percent 5 2" xfId="88" xr:uid="{460AEE2D-F0F7-473C-A236-AA2D18E14CE0}"/>
    <cellStyle name="Percent 6" xfId="58" xr:uid="{00000000-0005-0000-0000-000040000000}"/>
    <cellStyle name="Percent 6 2" xfId="103" xr:uid="{BA3DE0E8-3295-4C58-B553-AE6B01655DED}"/>
    <cellStyle name="Percent 7" xfId="68" xr:uid="{D1B04C96-4246-41E5-B2D6-A73B6379882F}"/>
    <cellStyle name="Percent 7 2" xfId="104" xr:uid="{39E494B4-661A-42DD-81FF-65FBE8536F5E}"/>
    <cellStyle name="Percent 8" xfId="105" xr:uid="{B958915B-2CA4-45A5-B08A-D2E26A05E43D}"/>
    <cellStyle name="Style 1" xfId="8" xr:uid="{00000000-0005-0000-0000-000041000000}"/>
    <cellStyle name="Style 1 2" xfId="36" xr:uid="{00000000-0005-0000-0000-000042000000}"/>
    <cellStyle name="Titles" xfId="10" xr:uid="{00000000-0005-0000-0000-000043000000}"/>
  </cellStyles>
  <dxfs count="0"/>
  <tableStyles count="0" defaultTableStyle="TableStyleMedium9" defaultPivotStyle="PivotStyleLight16"/>
  <colors>
    <mruColors>
      <color rgb="FF00455C"/>
      <color rgb="FF78A22F"/>
      <color rgb="FFA7A9AC"/>
      <color rgb="FF01662A"/>
      <color rgb="FFDADADA"/>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 Id="rId5" Type="http://schemas.openxmlformats.org/officeDocument/2006/relationships/image" Target="../media/image12.png"/><Relationship Id="rId4"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png"/><Relationship Id="rId5" Type="http://schemas.openxmlformats.org/officeDocument/2006/relationships/image" Target="../media/image16.png"/><Relationship Id="rId4"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179102</xdr:colOff>
      <xdr:row>0</xdr:row>
      <xdr:rowOff>113974</xdr:rowOff>
    </xdr:from>
    <xdr:to>
      <xdr:col>1</xdr:col>
      <xdr:colOff>1733440</xdr:colOff>
      <xdr:row>3</xdr:row>
      <xdr:rowOff>83209</xdr:rowOff>
    </xdr:to>
    <xdr:pic>
      <xdr:nvPicPr>
        <xdr:cNvPr id="3" name="Picture 2">
          <a:extLst>
            <a:ext uri="{FF2B5EF4-FFF2-40B4-BE49-F238E27FC236}">
              <a16:creationId xmlns:a16="http://schemas.microsoft.com/office/drawing/2014/main" id="{859CA6E1-03C3-4BA8-8C8B-2C33D6A700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102" y="113974"/>
          <a:ext cx="1896261" cy="7182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192249</xdr:colOff>
      <xdr:row>0</xdr:row>
      <xdr:rowOff>131078</xdr:rowOff>
    </xdr:from>
    <xdr:to>
      <xdr:col>2</xdr:col>
      <xdr:colOff>97872</xdr:colOff>
      <xdr:row>5</xdr:row>
      <xdr:rowOff>106512</xdr:rowOff>
    </xdr:to>
    <xdr:pic>
      <xdr:nvPicPr>
        <xdr:cNvPr id="3" name="Picture 2">
          <a:extLst>
            <a:ext uri="{FF2B5EF4-FFF2-40B4-BE49-F238E27FC236}">
              <a16:creationId xmlns:a16="http://schemas.microsoft.com/office/drawing/2014/main" id="{279CE654-3F61-437E-971A-9048459D8A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2249" y="131078"/>
          <a:ext cx="1896261" cy="7182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357857</xdr:colOff>
      <xdr:row>12</xdr:row>
      <xdr:rowOff>0</xdr:rowOff>
    </xdr:from>
    <xdr:to>
      <xdr:col>14</xdr:col>
      <xdr:colOff>365830</xdr:colOff>
      <xdr:row>46</xdr:row>
      <xdr:rowOff>98024</xdr:rowOff>
    </xdr:to>
    <xdr:sp macro="" textlink="">
      <xdr:nvSpPr>
        <xdr:cNvPr id="10243" name="AutoShape 3">
          <a:extLst>
            <a:ext uri="{FF2B5EF4-FFF2-40B4-BE49-F238E27FC236}">
              <a16:creationId xmlns:a16="http://schemas.microsoft.com/office/drawing/2014/main" id="{4ADD782C-8600-1543-F69F-A4ED96425CF7}"/>
            </a:ext>
          </a:extLst>
        </xdr:cNvPr>
        <xdr:cNvSpPr>
          <a:spLocks noChangeAspect="1" noChangeArrowheads="1"/>
        </xdr:cNvSpPr>
      </xdr:nvSpPr>
      <xdr:spPr bwMode="auto">
        <a:xfrm>
          <a:off x="357857" y="1649236"/>
          <a:ext cx="8386445" cy="49112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219075</xdr:colOff>
      <xdr:row>1</xdr:row>
      <xdr:rowOff>95250</xdr:rowOff>
    </xdr:from>
    <xdr:to>
      <xdr:col>3</xdr:col>
      <xdr:colOff>238911</xdr:colOff>
      <xdr:row>7</xdr:row>
      <xdr:rowOff>13359</xdr:rowOff>
    </xdr:to>
    <xdr:pic>
      <xdr:nvPicPr>
        <xdr:cNvPr id="2" name="Picture 1">
          <a:extLst>
            <a:ext uri="{FF2B5EF4-FFF2-40B4-BE49-F238E27FC236}">
              <a16:creationId xmlns:a16="http://schemas.microsoft.com/office/drawing/2014/main" id="{327EF791-300A-47F6-A854-18812DA9BB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228600"/>
          <a:ext cx="1896261" cy="718209"/>
        </a:xfrm>
        <a:prstGeom prst="rect">
          <a:avLst/>
        </a:prstGeom>
      </xdr:spPr>
    </xdr:pic>
    <xdr:clientData/>
  </xdr:twoCellAnchor>
  <xdr:twoCellAnchor editAs="oneCell">
    <xdr:from>
      <xdr:col>0</xdr:col>
      <xdr:colOff>19050</xdr:colOff>
      <xdr:row>12</xdr:row>
      <xdr:rowOff>19050</xdr:rowOff>
    </xdr:from>
    <xdr:to>
      <xdr:col>7</xdr:col>
      <xdr:colOff>257175</xdr:colOff>
      <xdr:row>24</xdr:row>
      <xdr:rowOff>123825</xdr:rowOff>
    </xdr:to>
    <xdr:pic>
      <xdr:nvPicPr>
        <xdr:cNvPr id="3" name="Picture 2">
          <a:extLst>
            <a:ext uri="{FF2B5EF4-FFF2-40B4-BE49-F238E27FC236}">
              <a16:creationId xmlns:a16="http://schemas.microsoft.com/office/drawing/2014/main" id="{EAAE9AFE-E717-3224-9086-F1DEA5EC2A0C}"/>
            </a:ext>
          </a:extLst>
        </xdr:cNvPr>
        <xdr:cNvPicPr>
          <a:picLocks noChangeAspect="1"/>
        </xdr:cNvPicPr>
      </xdr:nvPicPr>
      <xdr:blipFill>
        <a:blip xmlns:r="http://schemas.openxmlformats.org/officeDocument/2006/relationships" r:embed="rId2"/>
        <a:stretch>
          <a:fillRect/>
        </a:stretch>
      </xdr:blipFill>
      <xdr:spPr>
        <a:xfrm>
          <a:off x="19050" y="1676400"/>
          <a:ext cx="4476750" cy="1819275"/>
        </a:xfrm>
        <a:prstGeom prst="rect">
          <a:avLst/>
        </a:prstGeom>
      </xdr:spPr>
    </xdr:pic>
    <xdr:clientData/>
  </xdr:twoCellAnchor>
  <xdr:twoCellAnchor editAs="oneCell">
    <xdr:from>
      <xdr:col>9</xdr:col>
      <xdr:colOff>9525</xdr:colOff>
      <xdr:row>12</xdr:row>
      <xdr:rowOff>9525</xdr:rowOff>
    </xdr:from>
    <xdr:to>
      <xdr:col>16</xdr:col>
      <xdr:colOff>405659</xdr:colOff>
      <xdr:row>24</xdr:row>
      <xdr:rowOff>133350</xdr:rowOff>
    </xdr:to>
    <xdr:pic>
      <xdr:nvPicPr>
        <xdr:cNvPr id="4" name="Picture 3">
          <a:extLst>
            <a:ext uri="{FF2B5EF4-FFF2-40B4-BE49-F238E27FC236}">
              <a16:creationId xmlns:a16="http://schemas.microsoft.com/office/drawing/2014/main" id="{B3E48E21-D1D6-9B35-9097-3DD51DF34CFC}"/>
            </a:ext>
          </a:extLst>
        </xdr:cNvPr>
        <xdr:cNvPicPr>
          <a:picLocks noChangeAspect="1"/>
        </xdr:cNvPicPr>
      </xdr:nvPicPr>
      <xdr:blipFill>
        <a:blip xmlns:r="http://schemas.openxmlformats.org/officeDocument/2006/relationships" r:embed="rId3"/>
        <a:stretch>
          <a:fillRect/>
        </a:stretch>
      </xdr:blipFill>
      <xdr:spPr>
        <a:xfrm>
          <a:off x="5429250" y="1666875"/>
          <a:ext cx="4529984" cy="1838325"/>
        </a:xfrm>
        <a:prstGeom prst="rect">
          <a:avLst/>
        </a:prstGeom>
      </xdr:spPr>
    </xdr:pic>
    <xdr:clientData/>
  </xdr:twoCellAnchor>
  <xdr:twoCellAnchor editAs="oneCell">
    <xdr:from>
      <xdr:col>0</xdr:col>
      <xdr:colOff>0</xdr:colOff>
      <xdr:row>27</xdr:row>
      <xdr:rowOff>19050</xdr:rowOff>
    </xdr:from>
    <xdr:to>
      <xdr:col>7</xdr:col>
      <xdr:colOff>285750</xdr:colOff>
      <xdr:row>40</xdr:row>
      <xdr:rowOff>15379</xdr:rowOff>
    </xdr:to>
    <xdr:pic>
      <xdr:nvPicPr>
        <xdr:cNvPr id="5" name="Picture 4">
          <a:extLst>
            <a:ext uri="{FF2B5EF4-FFF2-40B4-BE49-F238E27FC236}">
              <a16:creationId xmlns:a16="http://schemas.microsoft.com/office/drawing/2014/main" id="{6002C456-D68E-2557-A4BD-D8F0D07BD149}"/>
            </a:ext>
          </a:extLst>
        </xdr:cNvPr>
        <xdr:cNvPicPr>
          <a:picLocks noChangeAspect="1"/>
        </xdr:cNvPicPr>
      </xdr:nvPicPr>
      <xdr:blipFill>
        <a:blip xmlns:r="http://schemas.openxmlformats.org/officeDocument/2006/relationships" r:embed="rId4"/>
        <a:stretch>
          <a:fillRect/>
        </a:stretch>
      </xdr:blipFill>
      <xdr:spPr>
        <a:xfrm>
          <a:off x="0" y="3686175"/>
          <a:ext cx="4524375" cy="1853704"/>
        </a:xfrm>
        <a:prstGeom prst="rect">
          <a:avLst/>
        </a:prstGeom>
      </xdr:spPr>
    </xdr:pic>
    <xdr:clientData/>
  </xdr:twoCellAnchor>
  <xdr:twoCellAnchor editAs="oneCell">
    <xdr:from>
      <xdr:col>9</xdr:col>
      <xdr:colOff>0</xdr:colOff>
      <xdr:row>27</xdr:row>
      <xdr:rowOff>0</xdr:rowOff>
    </xdr:from>
    <xdr:to>
      <xdr:col>16</xdr:col>
      <xdr:colOff>371475</xdr:colOff>
      <xdr:row>39</xdr:row>
      <xdr:rowOff>136937</xdr:rowOff>
    </xdr:to>
    <xdr:pic>
      <xdr:nvPicPr>
        <xdr:cNvPr id="9" name="Picture 8">
          <a:extLst>
            <a:ext uri="{FF2B5EF4-FFF2-40B4-BE49-F238E27FC236}">
              <a16:creationId xmlns:a16="http://schemas.microsoft.com/office/drawing/2014/main" id="{1DF7958E-CB04-C374-247D-C547D7ECED41}"/>
            </a:ext>
          </a:extLst>
        </xdr:cNvPr>
        <xdr:cNvPicPr>
          <a:picLocks noChangeAspect="1"/>
        </xdr:cNvPicPr>
      </xdr:nvPicPr>
      <xdr:blipFill>
        <a:blip xmlns:r="http://schemas.openxmlformats.org/officeDocument/2006/relationships" r:embed="rId5"/>
        <a:stretch>
          <a:fillRect/>
        </a:stretch>
      </xdr:blipFill>
      <xdr:spPr>
        <a:xfrm>
          <a:off x="5419725" y="3667125"/>
          <a:ext cx="4505325" cy="1851437"/>
        </a:xfrm>
        <a:prstGeom prst="rect">
          <a:avLst/>
        </a:prstGeom>
      </xdr:spPr>
    </xdr:pic>
    <xdr:clientData/>
  </xdr:twoCellAnchor>
  <xdr:twoCellAnchor editAs="oneCell">
    <xdr:from>
      <xdr:col>0</xdr:col>
      <xdr:colOff>28575</xdr:colOff>
      <xdr:row>42</xdr:row>
      <xdr:rowOff>0</xdr:rowOff>
    </xdr:from>
    <xdr:to>
      <xdr:col>7</xdr:col>
      <xdr:colOff>257175</xdr:colOff>
      <xdr:row>57</xdr:row>
      <xdr:rowOff>47625</xdr:rowOff>
    </xdr:to>
    <xdr:pic>
      <xdr:nvPicPr>
        <xdr:cNvPr id="15" name="Picture 14">
          <a:extLst>
            <a:ext uri="{FF2B5EF4-FFF2-40B4-BE49-F238E27FC236}">
              <a16:creationId xmlns:a16="http://schemas.microsoft.com/office/drawing/2014/main" id="{FA844384-DE87-1D8D-0695-35DC407DC46A}"/>
            </a:ext>
          </a:extLst>
        </xdr:cNvPr>
        <xdr:cNvPicPr>
          <a:picLocks noChangeAspect="1"/>
        </xdr:cNvPicPr>
      </xdr:nvPicPr>
      <xdr:blipFill>
        <a:blip xmlns:r="http://schemas.openxmlformats.org/officeDocument/2006/relationships" r:embed="rId6"/>
        <a:stretch>
          <a:fillRect/>
        </a:stretch>
      </xdr:blipFill>
      <xdr:spPr>
        <a:xfrm>
          <a:off x="28575" y="5676900"/>
          <a:ext cx="4467225" cy="2219325"/>
        </a:xfrm>
        <a:prstGeom prst="rect">
          <a:avLst/>
        </a:prstGeom>
      </xdr:spPr>
    </xdr:pic>
    <xdr:clientData/>
  </xdr:twoCellAnchor>
  <xdr:twoCellAnchor editAs="oneCell">
    <xdr:from>
      <xdr:col>9</xdr:col>
      <xdr:colOff>0</xdr:colOff>
      <xdr:row>42</xdr:row>
      <xdr:rowOff>1</xdr:rowOff>
    </xdr:from>
    <xdr:to>
      <xdr:col>16</xdr:col>
      <xdr:colOff>512210</xdr:colOff>
      <xdr:row>57</xdr:row>
      <xdr:rowOff>114301</xdr:rowOff>
    </xdr:to>
    <xdr:pic>
      <xdr:nvPicPr>
        <xdr:cNvPr id="16" name="Picture 15">
          <a:extLst>
            <a:ext uri="{FF2B5EF4-FFF2-40B4-BE49-F238E27FC236}">
              <a16:creationId xmlns:a16="http://schemas.microsoft.com/office/drawing/2014/main" id="{ACE4E0B1-4DC6-D92E-4C87-63676C630F1B}"/>
            </a:ext>
          </a:extLst>
        </xdr:cNvPr>
        <xdr:cNvPicPr>
          <a:picLocks noChangeAspect="1"/>
        </xdr:cNvPicPr>
      </xdr:nvPicPr>
      <xdr:blipFill>
        <a:blip xmlns:r="http://schemas.openxmlformats.org/officeDocument/2006/relationships" r:embed="rId7"/>
        <a:stretch>
          <a:fillRect/>
        </a:stretch>
      </xdr:blipFill>
      <xdr:spPr>
        <a:xfrm>
          <a:off x="5419725" y="5676901"/>
          <a:ext cx="4646060" cy="2286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1</xdr:row>
      <xdr:rowOff>104775</xdr:rowOff>
    </xdr:from>
    <xdr:to>
      <xdr:col>3</xdr:col>
      <xdr:colOff>191286</xdr:colOff>
      <xdr:row>7</xdr:row>
      <xdr:rowOff>22884</xdr:rowOff>
    </xdr:to>
    <xdr:pic>
      <xdr:nvPicPr>
        <xdr:cNvPr id="3" name="Picture 2">
          <a:extLst>
            <a:ext uri="{FF2B5EF4-FFF2-40B4-BE49-F238E27FC236}">
              <a16:creationId xmlns:a16="http://schemas.microsoft.com/office/drawing/2014/main" id="{BB51D937-6054-4AA0-8B18-16BCA42FAC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38125"/>
          <a:ext cx="1896261" cy="718209"/>
        </a:xfrm>
        <a:prstGeom prst="rect">
          <a:avLst/>
        </a:prstGeom>
      </xdr:spPr>
    </xdr:pic>
    <xdr:clientData/>
  </xdr:twoCellAnchor>
  <xdr:twoCellAnchor editAs="oneCell">
    <xdr:from>
      <xdr:col>0</xdr:col>
      <xdr:colOff>0</xdr:colOff>
      <xdr:row>12</xdr:row>
      <xdr:rowOff>0</xdr:rowOff>
    </xdr:from>
    <xdr:to>
      <xdr:col>7</xdr:col>
      <xdr:colOff>542925</xdr:colOff>
      <xdr:row>25</xdr:row>
      <xdr:rowOff>80296</xdr:rowOff>
    </xdr:to>
    <xdr:pic>
      <xdr:nvPicPr>
        <xdr:cNvPr id="5" name="Picture 4">
          <a:extLst>
            <a:ext uri="{FF2B5EF4-FFF2-40B4-BE49-F238E27FC236}">
              <a16:creationId xmlns:a16="http://schemas.microsoft.com/office/drawing/2014/main" id="{9475D1A5-C3B2-FC08-8B8C-F0D64A383A5B}"/>
            </a:ext>
          </a:extLst>
        </xdr:cNvPr>
        <xdr:cNvPicPr>
          <a:picLocks noChangeAspect="1"/>
        </xdr:cNvPicPr>
      </xdr:nvPicPr>
      <xdr:blipFill>
        <a:blip xmlns:r="http://schemas.openxmlformats.org/officeDocument/2006/relationships" r:embed="rId2"/>
        <a:stretch>
          <a:fillRect/>
        </a:stretch>
      </xdr:blipFill>
      <xdr:spPr>
        <a:xfrm>
          <a:off x="0" y="1657350"/>
          <a:ext cx="4781550" cy="1958401"/>
        </a:xfrm>
        <a:prstGeom prst="rect">
          <a:avLst/>
        </a:prstGeom>
      </xdr:spPr>
    </xdr:pic>
    <xdr:clientData/>
  </xdr:twoCellAnchor>
  <xdr:twoCellAnchor editAs="oneCell">
    <xdr:from>
      <xdr:col>9</xdr:col>
      <xdr:colOff>0</xdr:colOff>
      <xdr:row>12</xdr:row>
      <xdr:rowOff>0</xdr:rowOff>
    </xdr:from>
    <xdr:to>
      <xdr:col>17</xdr:col>
      <xdr:colOff>39493</xdr:colOff>
      <xdr:row>25</xdr:row>
      <xdr:rowOff>64995</xdr:rowOff>
    </xdr:to>
    <xdr:pic>
      <xdr:nvPicPr>
        <xdr:cNvPr id="7" name="Picture 6">
          <a:extLst>
            <a:ext uri="{FF2B5EF4-FFF2-40B4-BE49-F238E27FC236}">
              <a16:creationId xmlns:a16="http://schemas.microsoft.com/office/drawing/2014/main" id="{6577E13D-060E-9D25-BCFF-9A765CC5E4B0}"/>
            </a:ext>
          </a:extLst>
        </xdr:cNvPr>
        <xdr:cNvPicPr>
          <a:picLocks noChangeAspect="1"/>
        </xdr:cNvPicPr>
      </xdr:nvPicPr>
      <xdr:blipFill>
        <a:blip xmlns:r="http://schemas.openxmlformats.org/officeDocument/2006/relationships" r:embed="rId3"/>
        <a:stretch>
          <a:fillRect/>
        </a:stretch>
      </xdr:blipFill>
      <xdr:spPr>
        <a:xfrm>
          <a:off x="5419725" y="1657350"/>
          <a:ext cx="4763893" cy="1943100"/>
        </a:xfrm>
        <a:prstGeom prst="rect">
          <a:avLst/>
        </a:prstGeom>
      </xdr:spPr>
    </xdr:pic>
    <xdr:clientData/>
  </xdr:twoCellAnchor>
  <xdr:twoCellAnchor editAs="oneCell">
    <xdr:from>
      <xdr:col>0</xdr:col>
      <xdr:colOff>1</xdr:colOff>
      <xdr:row>28</xdr:row>
      <xdr:rowOff>1</xdr:rowOff>
    </xdr:from>
    <xdr:to>
      <xdr:col>8</xdr:col>
      <xdr:colOff>47626</xdr:colOff>
      <xdr:row>41</xdr:row>
      <xdr:rowOff>93149</xdr:rowOff>
    </xdr:to>
    <xdr:pic>
      <xdr:nvPicPr>
        <xdr:cNvPr id="10" name="Picture 9">
          <a:extLst>
            <a:ext uri="{FF2B5EF4-FFF2-40B4-BE49-F238E27FC236}">
              <a16:creationId xmlns:a16="http://schemas.microsoft.com/office/drawing/2014/main" id="{AD4CA773-00DA-85E6-B7CA-2AB956DEE191}"/>
            </a:ext>
          </a:extLst>
        </xdr:cNvPr>
        <xdr:cNvPicPr>
          <a:picLocks noChangeAspect="1"/>
        </xdr:cNvPicPr>
      </xdr:nvPicPr>
      <xdr:blipFill>
        <a:blip xmlns:r="http://schemas.openxmlformats.org/officeDocument/2006/relationships" r:embed="rId4"/>
        <a:stretch>
          <a:fillRect/>
        </a:stretch>
      </xdr:blipFill>
      <xdr:spPr>
        <a:xfrm>
          <a:off x="1" y="3800476"/>
          <a:ext cx="4876800" cy="1971254"/>
        </a:xfrm>
        <a:prstGeom prst="rect">
          <a:avLst/>
        </a:prstGeom>
      </xdr:spPr>
    </xdr:pic>
    <xdr:clientData/>
  </xdr:twoCellAnchor>
  <xdr:twoCellAnchor editAs="oneCell">
    <xdr:from>
      <xdr:col>9</xdr:col>
      <xdr:colOff>1</xdr:colOff>
      <xdr:row>28</xdr:row>
      <xdr:rowOff>1</xdr:rowOff>
    </xdr:from>
    <xdr:to>
      <xdr:col>17</xdr:col>
      <xdr:colOff>209550</xdr:colOff>
      <xdr:row>41</xdr:row>
      <xdr:rowOff>63035</xdr:rowOff>
    </xdr:to>
    <xdr:pic>
      <xdr:nvPicPr>
        <xdr:cNvPr id="11" name="Picture 10">
          <a:extLst>
            <a:ext uri="{FF2B5EF4-FFF2-40B4-BE49-F238E27FC236}">
              <a16:creationId xmlns:a16="http://schemas.microsoft.com/office/drawing/2014/main" id="{BE272CA5-DE57-B463-CD31-17775391A88C}"/>
            </a:ext>
          </a:extLst>
        </xdr:cNvPr>
        <xdr:cNvPicPr>
          <a:picLocks noChangeAspect="1"/>
        </xdr:cNvPicPr>
      </xdr:nvPicPr>
      <xdr:blipFill>
        <a:blip xmlns:r="http://schemas.openxmlformats.org/officeDocument/2006/relationships" r:embed="rId5"/>
        <a:stretch>
          <a:fillRect/>
        </a:stretch>
      </xdr:blipFill>
      <xdr:spPr>
        <a:xfrm>
          <a:off x="5419726" y="3800476"/>
          <a:ext cx="4933949" cy="194114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165653</xdr:colOff>
      <xdr:row>1</xdr:row>
      <xdr:rowOff>8282</xdr:rowOff>
    </xdr:from>
    <xdr:to>
      <xdr:col>3</xdr:col>
      <xdr:colOff>190044</xdr:colOff>
      <xdr:row>6</xdr:row>
      <xdr:rowOff>63883</xdr:rowOff>
    </xdr:to>
    <xdr:pic>
      <xdr:nvPicPr>
        <xdr:cNvPr id="3" name="Picture 2">
          <a:extLst>
            <a:ext uri="{FF2B5EF4-FFF2-40B4-BE49-F238E27FC236}">
              <a16:creationId xmlns:a16="http://schemas.microsoft.com/office/drawing/2014/main" id="{DCB0F506-A6B9-4708-B902-3C08B5D348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653" y="140804"/>
          <a:ext cx="1896261" cy="718209"/>
        </a:xfrm>
        <a:prstGeom prst="rect">
          <a:avLst/>
        </a:prstGeom>
      </xdr:spPr>
    </xdr:pic>
    <xdr:clientData/>
  </xdr:twoCellAnchor>
  <xdr:twoCellAnchor editAs="oneCell">
    <xdr:from>
      <xdr:col>0</xdr:col>
      <xdr:colOff>1</xdr:colOff>
      <xdr:row>12</xdr:row>
      <xdr:rowOff>0</xdr:rowOff>
    </xdr:from>
    <xdr:to>
      <xdr:col>8</xdr:col>
      <xdr:colOff>123825</xdr:colOff>
      <xdr:row>23</xdr:row>
      <xdr:rowOff>98756</xdr:rowOff>
    </xdr:to>
    <xdr:pic>
      <xdr:nvPicPr>
        <xdr:cNvPr id="4" name="Picture 3">
          <a:extLst>
            <a:ext uri="{FF2B5EF4-FFF2-40B4-BE49-F238E27FC236}">
              <a16:creationId xmlns:a16="http://schemas.microsoft.com/office/drawing/2014/main" id="{6705C322-576A-54AB-A493-4B702F7E4DB2}"/>
            </a:ext>
          </a:extLst>
        </xdr:cNvPr>
        <xdr:cNvPicPr>
          <a:picLocks noChangeAspect="1"/>
        </xdr:cNvPicPr>
      </xdr:nvPicPr>
      <xdr:blipFill>
        <a:blip xmlns:r="http://schemas.openxmlformats.org/officeDocument/2006/relationships" r:embed="rId2"/>
        <a:stretch>
          <a:fillRect/>
        </a:stretch>
      </xdr:blipFill>
      <xdr:spPr>
        <a:xfrm>
          <a:off x="1" y="1657350"/>
          <a:ext cx="4952999" cy="1670381"/>
        </a:xfrm>
        <a:prstGeom prst="rect">
          <a:avLst/>
        </a:prstGeom>
      </xdr:spPr>
    </xdr:pic>
    <xdr:clientData/>
  </xdr:twoCellAnchor>
  <xdr:twoCellAnchor editAs="oneCell">
    <xdr:from>
      <xdr:col>9</xdr:col>
      <xdr:colOff>1</xdr:colOff>
      <xdr:row>12</xdr:row>
      <xdr:rowOff>1</xdr:rowOff>
    </xdr:from>
    <xdr:to>
      <xdr:col>17</xdr:col>
      <xdr:colOff>328019</xdr:colOff>
      <xdr:row>24</xdr:row>
      <xdr:rowOff>1</xdr:rowOff>
    </xdr:to>
    <xdr:pic>
      <xdr:nvPicPr>
        <xdr:cNvPr id="5" name="Picture 4">
          <a:extLst>
            <a:ext uri="{FF2B5EF4-FFF2-40B4-BE49-F238E27FC236}">
              <a16:creationId xmlns:a16="http://schemas.microsoft.com/office/drawing/2014/main" id="{97446AC3-D503-7F69-C9E0-1AE03B93123D}"/>
            </a:ext>
          </a:extLst>
        </xdr:cNvPr>
        <xdr:cNvPicPr>
          <a:picLocks noChangeAspect="1"/>
        </xdr:cNvPicPr>
      </xdr:nvPicPr>
      <xdr:blipFill>
        <a:blip xmlns:r="http://schemas.openxmlformats.org/officeDocument/2006/relationships" r:embed="rId3"/>
        <a:stretch>
          <a:fillRect/>
        </a:stretch>
      </xdr:blipFill>
      <xdr:spPr>
        <a:xfrm>
          <a:off x="5419726" y="1657351"/>
          <a:ext cx="5052418" cy="1714500"/>
        </a:xfrm>
        <a:prstGeom prst="rect">
          <a:avLst/>
        </a:prstGeom>
      </xdr:spPr>
    </xdr:pic>
    <xdr:clientData/>
  </xdr:twoCellAnchor>
  <xdr:twoCellAnchor editAs="oneCell">
    <xdr:from>
      <xdr:col>0</xdr:col>
      <xdr:colOff>1</xdr:colOff>
      <xdr:row>28</xdr:row>
      <xdr:rowOff>1</xdr:rowOff>
    </xdr:from>
    <xdr:to>
      <xdr:col>8</xdr:col>
      <xdr:colOff>161926</xdr:colOff>
      <xdr:row>39</xdr:row>
      <xdr:rowOff>126774</xdr:rowOff>
    </xdr:to>
    <xdr:pic>
      <xdr:nvPicPr>
        <xdr:cNvPr id="7" name="Picture 6">
          <a:extLst>
            <a:ext uri="{FF2B5EF4-FFF2-40B4-BE49-F238E27FC236}">
              <a16:creationId xmlns:a16="http://schemas.microsoft.com/office/drawing/2014/main" id="{F18C4A09-D579-0FB3-813C-B177FD1D4626}"/>
            </a:ext>
          </a:extLst>
        </xdr:cNvPr>
        <xdr:cNvPicPr>
          <a:picLocks noChangeAspect="1"/>
        </xdr:cNvPicPr>
      </xdr:nvPicPr>
      <xdr:blipFill>
        <a:blip xmlns:r="http://schemas.openxmlformats.org/officeDocument/2006/relationships" r:embed="rId4"/>
        <a:stretch>
          <a:fillRect/>
        </a:stretch>
      </xdr:blipFill>
      <xdr:spPr>
        <a:xfrm>
          <a:off x="1" y="3800476"/>
          <a:ext cx="4991100" cy="1736498"/>
        </a:xfrm>
        <a:prstGeom prst="rect">
          <a:avLst/>
        </a:prstGeom>
      </xdr:spPr>
    </xdr:pic>
    <xdr:clientData/>
  </xdr:twoCellAnchor>
  <xdr:twoCellAnchor editAs="oneCell">
    <xdr:from>
      <xdr:col>9</xdr:col>
      <xdr:colOff>0</xdr:colOff>
      <xdr:row>28</xdr:row>
      <xdr:rowOff>1</xdr:rowOff>
    </xdr:from>
    <xdr:to>
      <xdr:col>17</xdr:col>
      <xdr:colOff>420732</xdr:colOff>
      <xdr:row>40</xdr:row>
      <xdr:rowOff>85725</xdr:rowOff>
    </xdr:to>
    <xdr:pic>
      <xdr:nvPicPr>
        <xdr:cNvPr id="11" name="Picture 10">
          <a:extLst>
            <a:ext uri="{FF2B5EF4-FFF2-40B4-BE49-F238E27FC236}">
              <a16:creationId xmlns:a16="http://schemas.microsoft.com/office/drawing/2014/main" id="{3B75B1F7-4539-8C73-0F42-1313EB5B856A}"/>
            </a:ext>
          </a:extLst>
        </xdr:cNvPr>
        <xdr:cNvPicPr>
          <a:picLocks noChangeAspect="1"/>
        </xdr:cNvPicPr>
      </xdr:nvPicPr>
      <xdr:blipFill>
        <a:blip xmlns:r="http://schemas.openxmlformats.org/officeDocument/2006/relationships" r:embed="rId5"/>
        <a:stretch>
          <a:fillRect/>
        </a:stretch>
      </xdr:blipFill>
      <xdr:spPr>
        <a:xfrm>
          <a:off x="5419725" y="3800476"/>
          <a:ext cx="5145132" cy="18383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190500</xdr:colOff>
      <xdr:row>1</xdr:row>
      <xdr:rowOff>19050</xdr:rowOff>
    </xdr:from>
    <xdr:to>
      <xdr:col>3</xdr:col>
      <xdr:colOff>257961</xdr:colOff>
      <xdr:row>5</xdr:row>
      <xdr:rowOff>127659</xdr:rowOff>
    </xdr:to>
    <xdr:pic>
      <xdr:nvPicPr>
        <xdr:cNvPr id="3" name="Picture 2">
          <a:extLst>
            <a:ext uri="{FF2B5EF4-FFF2-40B4-BE49-F238E27FC236}">
              <a16:creationId xmlns:a16="http://schemas.microsoft.com/office/drawing/2014/main" id="{E6DDE37C-35A3-4031-BEEF-D01C30BC21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71450"/>
          <a:ext cx="1896261" cy="7182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192248</xdr:colOff>
      <xdr:row>0</xdr:row>
      <xdr:rowOff>113601</xdr:rowOff>
    </xdr:from>
    <xdr:to>
      <xdr:col>3</xdr:col>
      <xdr:colOff>17477</xdr:colOff>
      <xdr:row>5</xdr:row>
      <xdr:rowOff>89035</xdr:rowOff>
    </xdr:to>
    <xdr:pic>
      <xdr:nvPicPr>
        <xdr:cNvPr id="4" name="Picture 3">
          <a:extLst>
            <a:ext uri="{FF2B5EF4-FFF2-40B4-BE49-F238E27FC236}">
              <a16:creationId xmlns:a16="http://schemas.microsoft.com/office/drawing/2014/main" id="{D39BF904-8ECC-4DFE-7656-2F20544301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2248" y="113601"/>
          <a:ext cx="1896261" cy="7182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208881</xdr:colOff>
      <xdr:row>0</xdr:row>
      <xdr:rowOff>91908</xdr:rowOff>
    </xdr:from>
    <xdr:to>
      <xdr:col>3</xdr:col>
      <xdr:colOff>207044</xdr:colOff>
      <xdr:row>5</xdr:row>
      <xdr:rowOff>58143</xdr:rowOff>
    </xdr:to>
    <xdr:pic>
      <xdr:nvPicPr>
        <xdr:cNvPr id="3" name="Picture 2">
          <a:extLst>
            <a:ext uri="{FF2B5EF4-FFF2-40B4-BE49-F238E27FC236}">
              <a16:creationId xmlns:a16="http://schemas.microsoft.com/office/drawing/2014/main" id="{5F3A177B-20EC-44F7-8CDB-2A76E5F272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8881" y="91908"/>
          <a:ext cx="1896261" cy="7182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201162</xdr:colOff>
      <xdr:row>0</xdr:row>
      <xdr:rowOff>115957</xdr:rowOff>
    </xdr:from>
    <xdr:to>
      <xdr:col>2</xdr:col>
      <xdr:colOff>218988</xdr:colOff>
      <xdr:row>5</xdr:row>
      <xdr:rowOff>69091</xdr:rowOff>
    </xdr:to>
    <xdr:pic>
      <xdr:nvPicPr>
        <xdr:cNvPr id="3" name="Picture 2">
          <a:extLst>
            <a:ext uri="{FF2B5EF4-FFF2-40B4-BE49-F238E27FC236}">
              <a16:creationId xmlns:a16="http://schemas.microsoft.com/office/drawing/2014/main" id="{4A02A293-F496-4559-B73A-0448EB027B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1162" y="115957"/>
          <a:ext cx="1886738" cy="6985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255549</xdr:colOff>
      <xdr:row>0</xdr:row>
      <xdr:rowOff>92927</xdr:rowOff>
    </xdr:from>
    <xdr:to>
      <xdr:col>1</xdr:col>
      <xdr:colOff>92087</xdr:colOff>
      <xdr:row>5</xdr:row>
      <xdr:rowOff>36746</xdr:rowOff>
    </xdr:to>
    <xdr:pic>
      <xdr:nvPicPr>
        <xdr:cNvPr id="3" name="Picture 2">
          <a:extLst>
            <a:ext uri="{FF2B5EF4-FFF2-40B4-BE49-F238E27FC236}">
              <a16:creationId xmlns:a16="http://schemas.microsoft.com/office/drawing/2014/main" id="{2418561B-7151-4568-8A5D-FD06ECDF77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5549" y="92927"/>
          <a:ext cx="1896261" cy="7182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142328</xdr:colOff>
      <xdr:row>0</xdr:row>
      <xdr:rowOff>131379</xdr:rowOff>
    </xdr:from>
    <xdr:to>
      <xdr:col>2</xdr:col>
      <xdr:colOff>378830</xdr:colOff>
      <xdr:row>5</xdr:row>
      <xdr:rowOff>83209</xdr:rowOff>
    </xdr:to>
    <xdr:pic>
      <xdr:nvPicPr>
        <xdr:cNvPr id="3" name="Picture 2">
          <a:extLst>
            <a:ext uri="{FF2B5EF4-FFF2-40B4-BE49-F238E27FC236}">
              <a16:creationId xmlns:a16="http://schemas.microsoft.com/office/drawing/2014/main" id="{55F0C11F-4DD0-4E33-9D3F-39193039C3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328" y="131379"/>
          <a:ext cx="1896261" cy="7182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176674</xdr:colOff>
      <xdr:row>0</xdr:row>
      <xdr:rowOff>84496</xdr:rowOff>
    </xdr:from>
    <xdr:to>
      <xdr:col>3</xdr:col>
      <xdr:colOff>375424</xdr:colOff>
      <xdr:row>5</xdr:row>
      <xdr:rowOff>34560</xdr:rowOff>
    </xdr:to>
    <xdr:pic>
      <xdr:nvPicPr>
        <xdr:cNvPr id="2" name="Picture 1">
          <a:extLst>
            <a:ext uri="{FF2B5EF4-FFF2-40B4-BE49-F238E27FC236}">
              <a16:creationId xmlns:a16="http://schemas.microsoft.com/office/drawing/2014/main" id="{8E36F3B4-91D7-42DD-8932-C8996CAB15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674" y="84496"/>
          <a:ext cx="1896261" cy="7182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206674</xdr:colOff>
      <xdr:row>0</xdr:row>
      <xdr:rowOff>116816</xdr:rowOff>
    </xdr:from>
    <xdr:to>
      <xdr:col>0</xdr:col>
      <xdr:colOff>2102935</xdr:colOff>
      <xdr:row>5</xdr:row>
      <xdr:rowOff>71228</xdr:rowOff>
    </xdr:to>
    <xdr:pic>
      <xdr:nvPicPr>
        <xdr:cNvPr id="3" name="Picture 2">
          <a:extLst>
            <a:ext uri="{FF2B5EF4-FFF2-40B4-BE49-F238E27FC236}">
              <a16:creationId xmlns:a16="http://schemas.microsoft.com/office/drawing/2014/main" id="{77F0C4D6-F3D1-48C8-BCA3-5E6E996F12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6674" y="116816"/>
          <a:ext cx="1896261" cy="718209"/>
        </a:xfrm>
        <a:prstGeom prst="rect">
          <a:avLst/>
        </a:prstGeom>
      </xdr:spPr>
    </xdr:pic>
    <xdr:clientData/>
  </xdr:twoCellAnchor>
  <xdr:twoCellAnchor editAs="oneCell">
    <xdr:from>
      <xdr:col>0</xdr:col>
      <xdr:colOff>0</xdr:colOff>
      <xdr:row>38</xdr:row>
      <xdr:rowOff>8985</xdr:rowOff>
    </xdr:from>
    <xdr:to>
      <xdr:col>7</xdr:col>
      <xdr:colOff>187693</xdr:colOff>
      <xdr:row>43</xdr:row>
      <xdr:rowOff>134787</xdr:rowOff>
    </xdr:to>
    <xdr:pic>
      <xdr:nvPicPr>
        <xdr:cNvPr id="5" name="Picture 4">
          <a:extLst>
            <a:ext uri="{FF2B5EF4-FFF2-40B4-BE49-F238E27FC236}">
              <a16:creationId xmlns:a16="http://schemas.microsoft.com/office/drawing/2014/main" id="{6909D95C-4BAA-DD0C-74E1-17B8EDADC4E9}"/>
            </a:ext>
          </a:extLst>
        </xdr:cNvPr>
        <xdr:cNvPicPr>
          <a:picLocks noChangeAspect="1"/>
        </xdr:cNvPicPr>
      </xdr:nvPicPr>
      <xdr:blipFill>
        <a:blip xmlns:r="http://schemas.openxmlformats.org/officeDocument/2006/relationships" r:embed="rId2"/>
        <a:stretch>
          <a:fillRect/>
        </a:stretch>
      </xdr:blipFill>
      <xdr:spPr>
        <a:xfrm>
          <a:off x="0" y="5813843"/>
          <a:ext cx="5606160" cy="889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200987</xdr:colOff>
      <xdr:row>0</xdr:row>
      <xdr:rowOff>87383</xdr:rowOff>
    </xdr:from>
    <xdr:to>
      <xdr:col>2</xdr:col>
      <xdr:colOff>338903</xdr:colOff>
      <xdr:row>5</xdr:row>
      <xdr:rowOff>62817</xdr:rowOff>
    </xdr:to>
    <xdr:pic>
      <xdr:nvPicPr>
        <xdr:cNvPr id="3" name="Picture 2">
          <a:extLst>
            <a:ext uri="{FF2B5EF4-FFF2-40B4-BE49-F238E27FC236}">
              <a16:creationId xmlns:a16="http://schemas.microsoft.com/office/drawing/2014/main" id="{B7A75A72-F7D5-46ED-8A37-26877B767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987" y="87383"/>
          <a:ext cx="1896261" cy="718209"/>
        </a:xfrm>
        <a:prstGeom prst="rect">
          <a:avLst/>
        </a:prstGeom>
      </xdr:spPr>
    </xdr:pic>
    <xdr:clientData/>
  </xdr:twoCellAnchor>
</xdr:wsDr>
</file>

<file path=xl/theme/theme1.xml><?xml version="1.0" encoding="utf-8"?>
<a:theme xmlns:a="http://schemas.openxmlformats.org/drawingml/2006/main" name="AFME(2016)">
  <a:themeElements>
    <a:clrScheme name="AFME (2016 NEW)">
      <a:dk1>
        <a:sysClr val="windowText" lastClr="000000"/>
      </a:dk1>
      <a:lt1>
        <a:srgbClr val="FFFFFF"/>
      </a:lt1>
      <a:dk2>
        <a:srgbClr val="78A22F"/>
      </a:dk2>
      <a:lt2>
        <a:srgbClr val="565656"/>
      </a:lt2>
      <a:accent1>
        <a:srgbClr val="01662A"/>
      </a:accent1>
      <a:accent2>
        <a:srgbClr val="004679"/>
      </a:accent2>
      <a:accent3>
        <a:srgbClr val="009CD9"/>
      </a:accent3>
      <a:accent4>
        <a:srgbClr val="009490"/>
      </a:accent4>
      <a:accent5>
        <a:srgbClr val="C88200"/>
      </a:accent5>
      <a:accent6>
        <a:srgbClr val="A81915"/>
      </a:accent6>
      <a:hlink>
        <a:srgbClr val="78A22F"/>
      </a:hlink>
      <a:folHlink>
        <a:srgbClr val="78A22F"/>
      </a:folHlink>
    </a:clrScheme>
    <a:fontScheme name="AFME(2016)">
      <a:majorFont>
        <a:latin typeface="HelveticaNeueLT Std"/>
        <a:ea typeface=""/>
        <a:cs typeface=""/>
      </a:majorFont>
      <a:minorFont>
        <a:latin typeface="Cambr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nathan.kirk@markit.com" TargetMode="External"/><Relationship Id="rId13" Type="http://schemas.openxmlformats.org/officeDocument/2006/relationships/hyperlink" Target="mailto:renee.tourell@dealogic.com" TargetMode="External"/><Relationship Id="rId18" Type="http://schemas.openxmlformats.org/officeDocument/2006/relationships/hyperlink" Target="mailto:Kaivalya.Vishnu@fitchratings.com" TargetMode="External"/><Relationship Id="rId26" Type="http://schemas.openxmlformats.org/officeDocument/2006/relationships/hyperlink" Target="mailto:julia.tung@moodys.com" TargetMode="External"/><Relationship Id="rId3" Type="http://schemas.openxmlformats.org/officeDocument/2006/relationships/hyperlink" Target="mailto:julia.tung@moodys.com" TargetMode="External"/><Relationship Id="rId21" Type="http://schemas.openxmlformats.org/officeDocument/2006/relationships/hyperlink" Target="mailto:victoria_davis@standardandpoors.com" TargetMode="External"/><Relationship Id="rId7" Type="http://schemas.openxmlformats.org/officeDocument/2006/relationships/hyperlink" Target="mailto:nathan.kirk@markit.com" TargetMode="External"/><Relationship Id="rId12" Type="http://schemas.openxmlformats.org/officeDocument/2006/relationships/hyperlink" Target="mailto:julia.tung@moodys.com" TargetMode="External"/><Relationship Id="rId17" Type="http://schemas.openxmlformats.org/officeDocument/2006/relationships/hyperlink" Target="mailto:Kaivalya.Vishnu@fitchratings.com" TargetMode="External"/><Relationship Id="rId25" Type="http://schemas.openxmlformats.org/officeDocument/2006/relationships/hyperlink" Target="mailto:msampson1@bloomberg.net" TargetMode="External"/><Relationship Id="rId2" Type="http://schemas.openxmlformats.org/officeDocument/2006/relationships/hyperlink" Target="mailto:julia.tung@moodys.com" TargetMode="External"/><Relationship Id="rId16" Type="http://schemas.openxmlformats.org/officeDocument/2006/relationships/hyperlink" Target="mailto:Kaivalya.Vishnu@fitchratings.com" TargetMode="External"/><Relationship Id="rId20" Type="http://schemas.openxmlformats.org/officeDocument/2006/relationships/hyperlink" Target="mailto:victoria_davis@standardandpoors.com" TargetMode="External"/><Relationship Id="rId29" Type="http://schemas.openxmlformats.org/officeDocument/2006/relationships/printerSettings" Target="../printerSettings/printerSettings1.bin"/><Relationship Id="rId1" Type="http://schemas.openxmlformats.org/officeDocument/2006/relationships/hyperlink" Target="mailto:julia.tung@moodys.com" TargetMode="External"/><Relationship Id="rId6" Type="http://schemas.openxmlformats.org/officeDocument/2006/relationships/hyperlink" Target="mailto:nathan.kirk@markit.com" TargetMode="External"/><Relationship Id="rId11" Type="http://schemas.openxmlformats.org/officeDocument/2006/relationships/hyperlink" Target="mailto:julia.tung@moodys.com" TargetMode="External"/><Relationship Id="rId24" Type="http://schemas.openxmlformats.org/officeDocument/2006/relationships/hyperlink" Target="mailto:Victoria.Cooper@dealogic.com" TargetMode="External"/><Relationship Id="rId5" Type="http://schemas.openxmlformats.org/officeDocument/2006/relationships/hyperlink" Target="mailto:nathan.kirk@markit.com" TargetMode="External"/><Relationship Id="rId15" Type="http://schemas.openxmlformats.org/officeDocument/2006/relationships/hyperlink" Target="mailto:kim_trepp@trepp.com" TargetMode="External"/><Relationship Id="rId23" Type="http://schemas.openxmlformats.org/officeDocument/2006/relationships/hyperlink" Target="mailto:Victoria.Cooper@dealogic.com" TargetMode="External"/><Relationship Id="rId28" Type="http://schemas.openxmlformats.org/officeDocument/2006/relationships/hyperlink" Target="mailto:msampson1@bloomberg.net" TargetMode="External"/><Relationship Id="rId10" Type="http://schemas.openxmlformats.org/officeDocument/2006/relationships/hyperlink" Target="mailto:nathan.kirk@markit.com" TargetMode="External"/><Relationship Id="rId19" Type="http://schemas.openxmlformats.org/officeDocument/2006/relationships/hyperlink" Target="mailto:victoria_davis@standardandpoors.com" TargetMode="External"/><Relationship Id="rId4" Type="http://schemas.openxmlformats.org/officeDocument/2006/relationships/hyperlink" Target="mailto:nathan.kirk@markit.com" TargetMode="External"/><Relationship Id="rId9" Type="http://schemas.openxmlformats.org/officeDocument/2006/relationships/hyperlink" Target="mailto:nathan.kirk@markit.com" TargetMode="External"/><Relationship Id="rId14" Type="http://schemas.openxmlformats.org/officeDocument/2006/relationships/hyperlink" Target="mailto:kim_trepp@trepp.com" TargetMode="External"/><Relationship Id="rId22" Type="http://schemas.openxmlformats.org/officeDocument/2006/relationships/hyperlink" Target="mailto:Victoria.Cooper@dealogic.com" TargetMode="External"/><Relationship Id="rId27" Type="http://schemas.openxmlformats.org/officeDocument/2006/relationships/hyperlink" Target="mailto:julia.tung@moodys.com" TargetMode="External"/><Relationship Id="rId30"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76"/>
  <sheetViews>
    <sheetView zoomScale="117" zoomScaleNormal="110" zoomScaleSheetLayoutView="130" workbookViewId="0">
      <selection activeCell="D10" sqref="D10"/>
    </sheetView>
  </sheetViews>
  <sheetFormatPr defaultColWidth="5.140625" defaultRowHeight="12.75"/>
  <cols>
    <col min="1" max="1" width="5.140625" style="1" bestFit="1" customWidth="1"/>
    <col min="2" max="2" width="65" style="1" customWidth="1"/>
    <col min="3" max="3" width="18" style="1" customWidth="1"/>
    <col min="4" max="4" width="53.5703125" style="1" bestFit="1" customWidth="1"/>
    <col min="5" max="5" width="13.42578125" style="1" customWidth="1"/>
    <col min="6" max="255" width="9.140625" style="1" customWidth="1"/>
    <col min="256" max="16384" width="5.140625" style="1"/>
  </cols>
  <sheetData>
    <row r="1" spans="1:9">
      <c r="A1" s="33"/>
      <c r="B1" s="33"/>
      <c r="C1" s="33"/>
    </row>
    <row r="2" spans="1:9" ht="23.25">
      <c r="A2" s="33"/>
      <c r="B2" s="197" t="s">
        <v>70</v>
      </c>
      <c r="C2" s="197"/>
    </row>
    <row r="3" spans="1:9" ht="23.25">
      <c r="A3" s="33"/>
      <c r="B3" s="198" t="s">
        <v>2230</v>
      </c>
      <c r="C3" s="198"/>
    </row>
    <row r="4" spans="1:9" s="6" customFormat="1">
      <c r="A4" s="32"/>
      <c r="B4" s="32"/>
      <c r="C4" s="31"/>
    </row>
    <row r="5" spans="1:9" s="6" customFormat="1">
      <c r="A5" s="32"/>
      <c r="B5" s="32"/>
      <c r="C5" s="31"/>
      <c r="D5" s="42"/>
    </row>
    <row r="6" spans="1:9" ht="14.25">
      <c r="A6" s="63"/>
      <c r="B6" s="64"/>
      <c r="C6" s="72" t="s">
        <v>71</v>
      </c>
    </row>
    <row r="7" spans="1:9" ht="15">
      <c r="A7" s="63"/>
      <c r="B7" s="73" t="s">
        <v>72</v>
      </c>
      <c r="C7" s="65"/>
      <c r="D7" s="2"/>
    </row>
    <row r="8" spans="1:9" ht="15">
      <c r="A8" s="63"/>
      <c r="B8" s="66" t="s">
        <v>758</v>
      </c>
      <c r="C8" s="74">
        <v>1</v>
      </c>
      <c r="E8" s="3"/>
      <c r="F8" s="3"/>
      <c r="G8" s="4"/>
      <c r="H8" s="4"/>
      <c r="I8" s="4"/>
    </row>
    <row r="9" spans="1:9" ht="15">
      <c r="A9" s="63"/>
      <c r="B9" s="66" t="s">
        <v>759</v>
      </c>
      <c r="C9" s="74">
        <v>1</v>
      </c>
      <c r="E9" s="3"/>
      <c r="F9" s="3"/>
      <c r="G9" s="4"/>
      <c r="H9" s="4"/>
      <c r="I9" s="4"/>
    </row>
    <row r="10" spans="1:9" ht="15">
      <c r="A10" s="63"/>
      <c r="B10" s="66" t="s">
        <v>760</v>
      </c>
      <c r="C10" s="74">
        <v>1</v>
      </c>
      <c r="E10" s="3"/>
      <c r="F10" s="3"/>
      <c r="G10" s="4"/>
      <c r="H10" s="4"/>
      <c r="I10" s="4"/>
    </row>
    <row r="11" spans="1:9" ht="15">
      <c r="A11" s="63"/>
      <c r="B11" s="66" t="s">
        <v>772</v>
      </c>
      <c r="C11" s="74">
        <v>1</v>
      </c>
      <c r="E11" s="3"/>
      <c r="F11" s="3"/>
      <c r="G11" s="4"/>
      <c r="H11" s="4"/>
      <c r="I11" s="4"/>
    </row>
    <row r="12" spans="1:9" ht="15">
      <c r="A12" s="63"/>
      <c r="B12" s="66" t="s">
        <v>763</v>
      </c>
      <c r="C12" s="74">
        <v>1</v>
      </c>
      <c r="E12" s="3"/>
      <c r="F12" s="3"/>
      <c r="G12" s="4"/>
      <c r="H12" s="4"/>
      <c r="I12" s="4"/>
    </row>
    <row r="13" spans="1:9" ht="15">
      <c r="A13" s="63"/>
      <c r="B13" s="66" t="s">
        <v>762</v>
      </c>
      <c r="C13" s="74">
        <v>1</v>
      </c>
      <c r="E13" s="3"/>
      <c r="F13" s="3"/>
      <c r="G13" s="4"/>
      <c r="H13" s="4"/>
      <c r="I13" s="4"/>
    </row>
    <row r="14" spans="1:9" ht="15">
      <c r="A14" s="63"/>
      <c r="B14" s="66" t="s">
        <v>764</v>
      </c>
      <c r="C14" s="74">
        <v>2</v>
      </c>
      <c r="E14" s="3"/>
      <c r="F14" s="3"/>
      <c r="G14" s="4"/>
      <c r="H14" s="4"/>
      <c r="I14" s="4"/>
    </row>
    <row r="15" spans="1:9" ht="15">
      <c r="A15" s="63"/>
      <c r="B15" s="66" t="s">
        <v>1460</v>
      </c>
      <c r="C15" s="74">
        <v>2</v>
      </c>
      <c r="E15" s="3"/>
      <c r="F15" s="3"/>
      <c r="G15" s="4"/>
      <c r="H15" s="4"/>
      <c r="I15" s="4"/>
    </row>
    <row r="16" spans="1:9" ht="15">
      <c r="A16" s="63"/>
      <c r="B16" s="66" t="s">
        <v>1545</v>
      </c>
      <c r="C16" s="74">
        <v>2</v>
      </c>
      <c r="E16" s="3"/>
      <c r="F16" s="3"/>
      <c r="G16" s="4"/>
      <c r="H16" s="4"/>
      <c r="I16" s="4"/>
    </row>
    <row r="17" spans="1:9" ht="15">
      <c r="A17" s="63"/>
      <c r="B17" s="66" t="s">
        <v>1546</v>
      </c>
      <c r="C17" s="74">
        <v>2</v>
      </c>
      <c r="E17" s="3"/>
      <c r="F17" s="3"/>
      <c r="G17" s="4"/>
      <c r="H17" s="4"/>
      <c r="I17" s="4"/>
    </row>
    <row r="18" spans="1:9" ht="15">
      <c r="A18" s="63"/>
      <c r="B18" s="66" t="s">
        <v>1586</v>
      </c>
      <c r="C18" s="74">
        <v>2</v>
      </c>
      <c r="E18" s="3"/>
      <c r="F18" s="3"/>
      <c r="G18" s="4"/>
      <c r="H18" s="4"/>
      <c r="I18" s="4"/>
    </row>
    <row r="19" spans="1:9" ht="15">
      <c r="A19" s="63"/>
      <c r="B19" s="66" t="s">
        <v>1587</v>
      </c>
      <c r="C19" s="74">
        <v>2</v>
      </c>
      <c r="E19" s="3"/>
      <c r="F19" s="3"/>
      <c r="G19" s="4"/>
      <c r="H19" s="4"/>
      <c r="I19" s="4"/>
    </row>
    <row r="20" spans="1:9" ht="15">
      <c r="A20" s="63"/>
      <c r="B20" s="68"/>
      <c r="C20" s="72"/>
      <c r="E20" s="3"/>
      <c r="F20" s="3"/>
      <c r="G20" s="4"/>
      <c r="H20" s="4"/>
      <c r="I20" s="4"/>
    </row>
    <row r="21" spans="1:9" ht="15.75">
      <c r="A21" s="63"/>
      <c r="B21" s="73" t="s">
        <v>73</v>
      </c>
      <c r="C21" s="72"/>
      <c r="E21" s="3"/>
      <c r="F21" s="3"/>
      <c r="G21" s="5"/>
      <c r="H21" s="5"/>
      <c r="I21" s="5"/>
    </row>
    <row r="22" spans="1:9">
      <c r="A22" s="63"/>
      <c r="B22" s="66" t="s">
        <v>765</v>
      </c>
      <c r="C22" s="74">
        <v>3</v>
      </c>
    </row>
    <row r="23" spans="1:9" ht="15">
      <c r="A23" s="63"/>
      <c r="B23" s="66" t="s">
        <v>766</v>
      </c>
      <c r="C23" s="74">
        <v>3</v>
      </c>
      <c r="E23" s="3"/>
      <c r="F23" s="3"/>
      <c r="G23" s="4"/>
      <c r="H23" s="4"/>
      <c r="I23" s="4"/>
    </row>
    <row r="24" spans="1:9">
      <c r="A24" s="63"/>
      <c r="B24" s="66" t="s">
        <v>773</v>
      </c>
      <c r="C24" s="74">
        <v>3</v>
      </c>
    </row>
    <row r="25" spans="1:9">
      <c r="A25" s="63"/>
      <c r="B25" s="66" t="s">
        <v>768</v>
      </c>
      <c r="C25" s="74">
        <v>4</v>
      </c>
    </row>
    <row r="26" spans="1:9" ht="15">
      <c r="A26" s="63"/>
      <c r="B26" s="66" t="s">
        <v>769</v>
      </c>
      <c r="C26" s="74">
        <v>5</v>
      </c>
      <c r="E26" s="3"/>
      <c r="F26" s="3"/>
      <c r="G26" s="4"/>
      <c r="H26" s="4"/>
      <c r="I26" s="4"/>
    </row>
    <row r="27" spans="1:9" ht="15">
      <c r="A27" s="63"/>
      <c r="B27" s="66" t="s">
        <v>774</v>
      </c>
      <c r="C27" s="74">
        <v>6</v>
      </c>
      <c r="E27" s="3"/>
      <c r="F27" s="3"/>
      <c r="G27" s="4"/>
      <c r="H27" s="4"/>
      <c r="I27" s="4"/>
    </row>
    <row r="28" spans="1:9" ht="15">
      <c r="A28" s="63"/>
      <c r="B28" s="66"/>
      <c r="C28" s="74"/>
      <c r="E28" s="3"/>
      <c r="F28" s="3"/>
      <c r="G28" s="4"/>
      <c r="H28" s="4"/>
      <c r="I28" s="4"/>
    </row>
    <row r="29" spans="1:9" ht="15.75">
      <c r="A29" s="63"/>
      <c r="B29" s="73" t="s">
        <v>1709</v>
      </c>
      <c r="C29" s="74"/>
      <c r="E29" s="3"/>
      <c r="F29" s="3"/>
      <c r="G29" s="4"/>
      <c r="H29" s="4"/>
      <c r="I29" s="4"/>
    </row>
    <row r="30" spans="1:9" ht="15">
      <c r="A30" s="63"/>
      <c r="B30" s="66" t="s">
        <v>1634</v>
      </c>
      <c r="C30" s="74">
        <v>7</v>
      </c>
      <c r="E30" s="3"/>
      <c r="F30" s="3"/>
      <c r="G30" s="4"/>
      <c r="H30" s="4"/>
      <c r="I30" s="4"/>
    </row>
    <row r="31" spans="1:9" ht="15">
      <c r="A31" s="63"/>
      <c r="B31" s="66" t="s">
        <v>1630</v>
      </c>
      <c r="C31" s="74">
        <v>7</v>
      </c>
      <c r="E31" s="3"/>
      <c r="F31" s="3"/>
      <c r="G31" s="4"/>
      <c r="H31" s="4"/>
      <c r="I31" s="4"/>
    </row>
    <row r="32" spans="1:9" ht="15">
      <c r="A32" s="63"/>
      <c r="B32" s="66" t="s">
        <v>2217</v>
      </c>
      <c r="C32" s="74">
        <v>7</v>
      </c>
      <c r="E32" s="3"/>
      <c r="F32" s="3"/>
      <c r="G32" s="4"/>
      <c r="H32" s="4"/>
      <c r="I32" s="4"/>
    </row>
    <row r="33" spans="1:9" ht="15">
      <c r="A33" s="63"/>
      <c r="B33" s="66"/>
      <c r="C33" s="74"/>
      <c r="E33" s="3"/>
      <c r="F33" s="3"/>
      <c r="G33" s="4"/>
      <c r="H33" s="4"/>
      <c r="I33" s="4"/>
    </row>
    <row r="34" spans="1:9" ht="15.75">
      <c r="A34" s="63"/>
      <c r="B34" s="73" t="s">
        <v>1660</v>
      </c>
      <c r="C34" s="74"/>
      <c r="E34" s="3"/>
      <c r="F34" s="3"/>
      <c r="G34" s="4"/>
      <c r="H34" s="4"/>
      <c r="I34" s="4"/>
    </row>
    <row r="35" spans="1:9" ht="14.1" customHeight="1">
      <c r="A35" s="63"/>
      <c r="B35" s="69" t="s">
        <v>74</v>
      </c>
      <c r="C35" s="74"/>
      <c r="E35" s="3"/>
      <c r="F35" s="3"/>
      <c r="G35" s="4"/>
      <c r="H35" s="4"/>
      <c r="I35" s="4"/>
    </row>
    <row r="36" spans="1:9" ht="14.1" customHeight="1">
      <c r="A36" s="63"/>
      <c r="B36" s="66" t="s">
        <v>1638</v>
      </c>
      <c r="C36" s="74">
        <v>8</v>
      </c>
      <c r="E36" s="3"/>
      <c r="F36" s="3"/>
      <c r="G36" s="4"/>
      <c r="H36" s="4"/>
      <c r="I36" s="4"/>
    </row>
    <row r="37" spans="1:9" ht="14.1" customHeight="1">
      <c r="A37" s="63"/>
      <c r="B37" s="66" t="s">
        <v>1639</v>
      </c>
      <c r="C37" s="74">
        <v>8</v>
      </c>
      <c r="E37" s="3"/>
      <c r="F37" s="3"/>
      <c r="G37" s="4"/>
      <c r="H37" s="4"/>
      <c r="I37" s="4"/>
    </row>
    <row r="38" spans="1:9" ht="14.1" customHeight="1">
      <c r="A38" s="63"/>
      <c r="B38" s="66" t="s">
        <v>1640</v>
      </c>
      <c r="C38" s="74">
        <v>8</v>
      </c>
    </row>
    <row r="39" spans="1:9" ht="14.1" customHeight="1">
      <c r="A39" s="63"/>
      <c r="B39" s="66" t="s">
        <v>1641</v>
      </c>
      <c r="C39" s="74">
        <v>8</v>
      </c>
    </row>
    <row r="40" spans="1:9" ht="14.1" customHeight="1">
      <c r="A40" s="63"/>
      <c r="B40" s="69" t="s">
        <v>75</v>
      </c>
      <c r="C40" s="74"/>
    </row>
    <row r="41" spans="1:9" ht="14.1" customHeight="1">
      <c r="A41" s="63"/>
      <c r="B41" s="66" t="s">
        <v>1710</v>
      </c>
      <c r="C41" s="74">
        <v>9</v>
      </c>
    </row>
    <row r="42" spans="1:9" ht="14.1" customHeight="1">
      <c r="A42" s="63"/>
      <c r="B42" s="66" t="s">
        <v>1711</v>
      </c>
      <c r="C42" s="74">
        <v>9</v>
      </c>
    </row>
    <row r="43" spans="1:9" ht="14.1" customHeight="1">
      <c r="A43" s="63"/>
      <c r="B43" s="66" t="s">
        <v>1712</v>
      </c>
      <c r="C43" s="74">
        <v>9</v>
      </c>
    </row>
    <row r="44" spans="1:9" ht="14.1" customHeight="1">
      <c r="A44" s="63"/>
      <c r="B44" s="66" t="s">
        <v>1713</v>
      </c>
      <c r="C44" s="74">
        <v>9</v>
      </c>
    </row>
    <row r="45" spans="1:9" ht="14.1" customHeight="1">
      <c r="A45" s="63"/>
      <c r="B45" s="66" t="s">
        <v>1714</v>
      </c>
      <c r="C45" s="74">
        <v>9</v>
      </c>
    </row>
    <row r="46" spans="1:9" ht="14.1" customHeight="1">
      <c r="A46" s="63"/>
      <c r="B46" s="66" t="s">
        <v>1715</v>
      </c>
      <c r="C46" s="74">
        <v>9</v>
      </c>
    </row>
    <row r="47" spans="1:9" ht="14.1" customHeight="1">
      <c r="A47" s="63"/>
      <c r="B47" s="66" t="s">
        <v>1716</v>
      </c>
      <c r="C47" s="74">
        <v>9</v>
      </c>
    </row>
    <row r="48" spans="1:9" ht="14.1" customHeight="1">
      <c r="A48" s="63"/>
      <c r="B48" s="66" t="s">
        <v>1717</v>
      </c>
      <c r="C48" s="74">
        <v>9</v>
      </c>
    </row>
    <row r="49" spans="1:3" ht="14.1" customHeight="1">
      <c r="A49" s="63"/>
      <c r="B49" s="66"/>
      <c r="C49" s="74">
        <v>9</v>
      </c>
    </row>
    <row r="50" spans="1:3" ht="15">
      <c r="A50" s="63"/>
      <c r="B50" s="73" t="s">
        <v>775</v>
      </c>
      <c r="C50" s="74"/>
    </row>
    <row r="51" spans="1:3">
      <c r="A51" s="63"/>
      <c r="B51" s="69" t="s">
        <v>126</v>
      </c>
      <c r="C51" s="74"/>
    </row>
    <row r="52" spans="1:3" ht="14.1" customHeight="1">
      <c r="A52" s="63"/>
      <c r="B52" s="66" t="s">
        <v>1718</v>
      </c>
      <c r="C52" s="74">
        <v>10</v>
      </c>
    </row>
    <row r="53" spans="1:3" ht="14.1" customHeight="1">
      <c r="A53" s="63"/>
      <c r="B53" s="66" t="s">
        <v>1719</v>
      </c>
      <c r="C53" s="74">
        <v>10</v>
      </c>
    </row>
    <row r="54" spans="1:3" ht="14.1" customHeight="1">
      <c r="A54" s="63"/>
      <c r="B54" s="66" t="s">
        <v>1720</v>
      </c>
      <c r="C54" s="74">
        <v>10</v>
      </c>
    </row>
    <row r="55" spans="1:3" ht="14.1" customHeight="1">
      <c r="A55" s="63"/>
      <c r="B55" s="66" t="s">
        <v>1721</v>
      </c>
      <c r="C55" s="74">
        <v>10</v>
      </c>
    </row>
    <row r="56" spans="1:3">
      <c r="A56" s="63"/>
      <c r="B56" s="69" t="s">
        <v>124</v>
      </c>
      <c r="C56" s="74"/>
    </row>
    <row r="57" spans="1:3" ht="14.1" customHeight="1">
      <c r="A57" s="63"/>
      <c r="B57" s="66" t="s">
        <v>1722</v>
      </c>
      <c r="C57" s="74">
        <v>11</v>
      </c>
    </row>
    <row r="58" spans="1:3" ht="14.1" customHeight="1">
      <c r="A58" s="63"/>
      <c r="B58" s="66" t="s">
        <v>1650</v>
      </c>
      <c r="C58" s="74">
        <v>11</v>
      </c>
    </row>
    <row r="59" spans="1:3" ht="14.1" customHeight="1">
      <c r="A59" s="63"/>
      <c r="B59" s="66" t="s">
        <v>1651</v>
      </c>
      <c r="C59" s="74">
        <v>11</v>
      </c>
    </row>
    <row r="60" spans="1:3" ht="14.1" customHeight="1">
      <c r="A60" s="63"/>
      <c r="B60" s="66" t="s">
        <v>1652</v>
      </c>
      <c r="C60" s="74">
        <v>11</v>
      </c>
    </row>
    <row r="61" spans="1:3">
      <c r="A61" s="63"/>
      <c r="B61" s="69" t="s">
        <v>692</v>
      </c>
      <c r="C61" s="74"/>
    </row>
    <row r="62" spans="1:3" ht="14.1" customHeight="1">
      <c r="A62" s="63"/>
      <c r="B62" s="66" t="s">
        <v>1653</v>
      </c>
      <c r="C62" s="74">
        <v>12</v>
      </c>
    </row>
    <row r="63" spans="1:3" ht="14.1" customHeight="1">
      <c r="A63" s="63"/>
      <c r="B63" s="66" t="s">
        <v>1654</v>
      </c>
      <c r="C63" s="74">
        <v>12</v>
      </c>
    </row>
    <row r="64" spans="1:3" ht="14.1" customHeight="1">
      <c r="A64" s="63"/>
      <c r="B64" s="66" t="s">
        <v>1655</v>
      </c>
      <c r="C64" s="74">
        <v>12</v>
      </c>
    </row>
    <row r="65" spans="1:3" ht="14.1" customHeight="1">
      <c r="A65" s="63"/>
      <c r="B65" s="66" t="s">
        <v>1723</v>
      </c>
      <c r="C65" s="74">
        <v>12</v>
      </c>
    </row>
    <row r="66" spans="1:3">
      <c r="A66" s="63"/>
      <c r="B66" s="70"/>
      <c r="C66" s="74"/>
    </row>
    <row r="67" spans="1:3" ht="15">
      <c r="A67" s="63"/>
      <c r="B67" s="73" t="s">
        <v>776</v>
      </c>
      <c r="C67" s="74"/>
    </row>
    <row r="68" spans="1:3" ht="14.1" customHeight="1">
      <c r="A68" s="63"/>
      <c r="B68" s="66" t="s">
        <v>1724</v>
      </c>
      <c r="C68" s="74">
        <v>13</v>
      </c>
    </row>
    <row r="69" spans="1:3" ht="14.1" customHeight="1">
      <c r="A69" s="63"/>
      <c r="B69" s="66" t="s">
        <v>1725</v>
      </c>
      <c r="C69" s="74">
        <v>13</v>
      </c>
    </row>
    <row r="70" spans="1:3" ht="14.1" customHeight="1">
      <c r="A70" s="63"/>
      <c r="B70" s="66" t="s">
        <v>1658</v>
      </c>
      <c r="C70" s="74">
        <v>13</v>
      </c>
    </row>
    <row r="71" spans="1:3" ht="26.1" customHeight="1">
      <c r="A71" s="63"/>
      <c r="B71" s="71" t="s">
        <v>1726</v>
      </c>
      <c r="C71" s="74">
        <v>13</v>
      </c>
    </row>
    <row r="72" spans="1:3">
      <c r="A72" s="63"/>
      <c r="B72" s="66"/>
      <c r="C72" s="67"/>
    </row>
    <row r="73" spans="1:3">
      <c r="A73" s="199" t="s">
        <v>784</v>
      </c>
      <c r="B73" s="199"/>
      <c r="C73" s="199"/>
    </row>
    <row r="74" spans="1:3">
      <c r="A74" s="199"/>
      <c r="B74" s="199"/>
      <c r="C74" s="199"/>
    </row>
    <row r="75" spans="1:3">
      <c r="A75" s="199"/>
      <c r="B75" s="199"/>
      <c r="C75" s="199"/>
    </row>
    <row r="76" spans="1:3">
      <c r="A76" s="199"/>
      <c r="B76" s="199"/>
      <c r="C76" s="199"/>
    </row>
  </sheetData>
  <mergeCells count="3">
    <mergeCell ref="B2:C2"/>
    <mergeCell ref="B3:C3"/>
    <mergeCell ref="A73:C76"/>
  </mergeCells>
  <phoneticPr fontId="35" type="noConversion"/>
  <hyperlinks>
    <hyperlink ref="E41" r:id="rId1" display="julia.tung@moodys.com" xr:uid="{00000000-0004-0000-0000-000000000000}"/>
    <hyperlink ref="E44" r:id="rId2" display="julia.tung@moodys.com" xr:uid="{00000000-0004-0000-0000-000001000000}"/>
    <hyperlink ref="E37" r:id="rId3" display="julia.tung@moodys.com" xr:uid="{00000000-0004-0000-0000-000002000000}"/>
    <hyperlink ref="E48" r:id="rId4" display="nathan.kirk@markit.com" xr:uid="{00000000-0004-0000-0000-000003000000}"/>
    <hyperlink ref="E49" r:id="rId5" display="nathan.kirk@markit.com" xr:uid="{00000000-0004-0000-0000-000004000000}"/>
    <hyperlink ref="E55" r:id="rId6" display="nathan.kirk@markit.com" xr:uid="{00000000-0004-0000-0000-000005000000}"/>
    <hyperlink ref="E57" r:id="rId7" display="nathan.kirk@markit.com" xr:uid="{00000000-0004-0000-0000-000006000000}"/>
    <hyperlink ref="E58" r:id="rId8" display="nathan.kirk@markit.com" xr:uid="{00000000-0004-0000-0000-000007000000}"/>
    <hyperlink ref="E59" r:id="rId9" display="nathan.kirk@markit.com" xr:uid="{00000000-0004-0000-0000-000008000000}"/>
    <hyperlink ref="E63" r:id="rId10" display="nathan.kirk@markit.com" xr:uid="{00000000-0004-0000-0000-000009000000}"/>
    <hyperlink ref="E70" r:id="rId11" display="julia.tung@moodys.com" xr:uid="{00000000-0004-0000-0000-000011000000}"/>
    <hyperlink ref="E71" r:id="rId12" display="julia.tung@moodys.com" xr:uid="{00000000-0004-0000-0000-000012000000}"/>
    <hyperlink ref="E17" r:id="rId13" display="renee.tourell@dealogic.com" xr:uid="{00000000-0004-0000-0000-000013000000}"/>
    <hyperlink ref="E50" r:id="rId14" display="kim_trepp@trepp.com" xr:uid="{00000000-0004-0000-0000-000014000000}"/>
    <hyperlink ref="E52" r:id="rId15" display="kim_trepp@trepp.com" xr:uid="{00000000-0004-0000-0000-000015000000}"/>
    <hyperlink ref="E36" r:id="rId16" display="Kaivalya.Vishnu@fitchratings.com" xr:uid="{00000000-0004-0000-0000-000016000000}"/>
    <hyperlink ref="E40" r:id="rId17" display="Kaivalya.Vishnu@fitchratings.com" xr:uid="{00000000-0004-0000-0000-000017000000}"/>
    <hyperlink ref="E43" r:id="rId18" display="Kaivalya.Vishnu@fitchratings.com" xr:uid="{00000000-0004-0000-0000-000018000000}"/>
    <hyperlink ref="E38" r:id="rId19" display="victoria_davis@standardandpoors.com" xr:uid="{00000000-0004-0000-0000-000019000000}"/>
    <hyperlink ref="E42" r:id="rId20" display="victoria_davis@standardandpoors.com" xr:uid="{00000000-0004-0000-0000-00001A000000}"/>
    <hyperlink ref="E45" r:id="rId21" display="victoria_davis@standardandpoors.com" xr:uid="{00000000-0004-0000-0000-00001B000000}"/>
    <hyperlink ref="E67" r:id="rId22" display="Victoria.Cooper@dealogic.com" xr:uid="{00000000-0004-0000-0000-00001E000000}"/>
    <hyperlink ref="E68" r:id="rId23" display="Victoria.Cooper@dealogic.com" xr:uid="{00000000-0004-0000-0000-00001F000000}"/>
    <hyperlink ref="E69" r:id="rId24" display="Victoria.Cooper@dealogic.com" xr:uid="{00000000-0004-0000-0000-000020000000}"/>
    <hyperlink ref="E22" r:id="rId25" display="msampson1@bloomberg.net" xr:uid="{00000000-0004-0000-0000-000021000000}"/>
    <hyperlink ref="E25" r:id="rId26" display="julia.tung@moodys.com" xr:uid="{00000000-0004-0000-0000-000022000000}"/>
    <hyperlink ref="E26" r:id="rId27" display="julia.tung@moodys.com" xr:uid="{00000000-0004-0000-0000-000023000000}"/>
    <hyperlink ref="E24" r:id="rId28" display="msampson1@bloomberg.net" xr:uid="{00000000-0004-0000-0000-000024000000}"/>
    <hyperlink ref="C22" location="'3'!A1" display="'3'!A1" xr:uid="{00000000-0004-0000-0000-00002D000000}"/>
    <hyperlink ref="C68" location="'13'!A1" display="'13'!A1" xr:uid="{00000000-0004-0000-0000-00004D000000}"/>
    <hyperlink ref="C25" location="'4'!A1" display="'4'!A1" xr:uid="{00000000-0004-0000-0000-000060000000}"/>
    <hyperlink ref="C26" location="'5'!A1" display="'5'!A1" xr:uid="{00000000-0004-0000-0000-000062000000}"/>
    <hyperlink ref="C27" location="'6'!A1" display="'6'!A1" xr:uid="{00000000-0004-0000-0000-000063000000}"/>
    <hyperlink ref="C8" location="'1'!A1" display="'1'!A1" xr:uid="{8867DBE0-1491-4985-9BC9-5956B1A71899}"/>
    <hyperlink ref="C9" location="'1'!A1" display="'1'!A1" xr:uid="{8C4EF734-B88D-4725-A8C1-683AF0E47C67}"/>
    <hyperlink ref="C10" location="'1'!A1" display="'1'!A1" xr:uid="{5D6E38A0-D282-4850-ACB1-6E861B8C22A0}"/>
    <hyperlink ref="C11" location="'1'!A1" display="'1'!A1" xr:uid="{B725764F-0A67-4AA4-8B51-67828201DA72}"/>
    <hyperlink ref="C12" location="'1'!A1" display="'1'!A1" xr:uid="{0F39E594-83B6-4369-9231-D8CB6E940D34}"/>
    <hyperlink ref="C13" location="'1'!A1" display="'1'!A1" xr:uid="{741E6C93-68EE-4FA3-BF5F-25A7B835F92C}"/>
    <hyperlink ref="C14" location="'2'!A1" display="'2'!A1" xr:uid="{27476A01-38A4-49B3-9006-69DBB34C5A5B}"/>
    <hyperlink ref="C15" location="'2'!A1" display="'2'!A1" xr:uid="{64249BA2-35BE-483D-A2CF-FCBCA0E0FA37}"/>
    <hyperlink ref="C16" location="'2'!A1" display="'2'!A1" xr:uid="{4C9CDDD7-EB4B-464F-92E4-11C7E4986C82}"/>
    <hyperlink ref="C17" location="'2'!A1" display="'2'!A1" xr:uid="{A053EFE7-A3E6-4EE0-A917-F0318FD1B23D}"/>
    <hyperlink ref="C23" location="'3'!A1" display="'3'!A1" xr:uid="{4E045733-D80B-45A1-A3B9-170938E04FDB}"/>
    <hyperlink ref="C24" location="'3'!A1" display="'3'!A1" xr:uid="{3AC71059-A59C-4C03-BF12-88C74DE7DDE3}"/>
    <hyperlink ref="C30" location="'7'!A1" display="'7'!A1" xr:uid="{C2DD6D8B-141F-4473-BEFC-DE7B961EDDC6}"/>
    <hyperlink ref="C31" location="'7'!A1" display="'7'!A1" xr:uid="{4EE8E5EC-369E-4551-B1B0-4B53D4CA2D86}"/>
    <hyperlink ref="C32" location="'7'!A1" display="'7'!A1" xr:uid="{5ECA1040-BFDA-4A02-BB7A-05BFA56844DC}"/>
    <hyperlink ref="C36" location="'8'!A1" display="'8'!A1" xr:uid="{302511BE-8EB8-46FC-8488-04696DD0B501}"/>
    <hyperlink ref="C37" location="'8'!A1" display="'8'!A1" xr:uid="{8DEB7DE8-8CB6-4B8B-8EDF-2F77421268B0}"/>
    <hyperlink ref="C38" location="'8'!A1" display="'8'!A1" xr:uid="{8AC879D6-3E46-44D9-8513-F83721FA7695}"/>
    <hyperlink ref="C39" location="'8'!A1" display="'8'!A1" xr:uid="{561D5552-CC2B-4507-8D7D-5CBFA33AB7FC}"/>
    <hyperlink ref="C41" location="'9'!A1" display="'9'!A1" xr:uid="{BF78D970-F6A1-4E7D-B362-94567360F915}"/>
    <hyperlink ref="C42" location="'9'!A1" display="'9'!A1" xr:uid="{76119299-BB5E-4ABF-B6C7-190D455B47DC}"/>
    <hyperlink ref="C43" location="'9'!A1" display="'9'!A1" xr:uid="{9795327C-3638-4E6F-8CD6-8F33884F99A1}"/>
    <hyperlink ref="C44" location="'9'!A1" display="'9'!A1" xr:uid="{2D1200CF-8AAF-4B52-9607-E2DC2E7E6A60}"/>
    <hyperlink ref="C45" location="'9'!A1" display="'9'!A1" xr:uid="{344F70F4-3CDC-4272-BD02-4D64A230BACF}"/>
    <hyperlink ref="C46" location="'9'!A1" display="'9'!A1" xr:uid="{C85DDA11-F9BA-499F-A9D5-F666CFAC3E79}"/>
    <hyperlink ref="C47" location="'9'!A1" display="'9'!A1" xr:uid="{F10E10E9-FA8E-4748-925A-620B0FDBA5E1}"/>
    <hyperlink ref="C48" location="'9'!A1" display="'9'!A1" xr:uid="{6591F6F4-1009-453D-8DBA-FF3668E9CD99}"/>
    <hyperlink ref="C49" location="'9'!A1" display="'9'!A1" xr:uid="{43962D45-8628-4B54-A002-33706E5C18EB}"/>
    <hyperlink ref="C52" location="'10'!A1" display="'10'!A1" xr:uid="{2D75780E-F752-4D4D-982F-C041DCDCA387}"/>
    <hyperlink ref="C53" location="'10'!A1" display="'10'!A1" xr:uid="{18EA18DE-637E-42C3-B1B0-2636AF1CFB1D}"/>
    <hyperlink ref="C54" location="'10'!A1" display="'10'!A1" xr:uid="{162854C3-FACC-4B36-A887-28630222F014}"/>
    <hyperlink ref="C55" location="'10'!A1" display="'10'!A1" xr:uid="{D6BEE5C5-97CF-4423-B670-4011675B9C85}"/>
    <hyperlink ref="C57" location="'11'!A1" display="'11'!A1" xr:uid="{B50413BE-2727-4396-A9B7-ABB6DBB841AE}"/>
    <hyperlink ref="C58" location="'11'!A1" display="'11'!A1" xr:uid="{7BA969ED-DB50-45B6-A618-D4588EC84F5C}"/>
    <hyperlink ref="C59" location="'11'!A1" display="'11'!A1" xr:uid="{1167D539-19EA-454D-8377-26D2EE0FF085}"/>
    <hyperlink ref="C60" location="'11'!A1" display="'11'!A1" xr:uid="{7557143C-F4BC-4EEE-B2D5-8692426D5038}"/>
    <hyperlink ref="C62" location="'12'!A1" display="'12'!A1" xr:uid="{4462EB17-4591-4D87-AEF1-7008AE7A37D7}"/>
    <hyperlink ref="C63" location="'12'!A1" display="'12'!A1" xr:uid="{69E7DF3B-BA20-4FA2-90D1-2105B544AE80}"/>
    <hyperlink ref="C65" location="'12'!A1" display="'12'!A1" xr:uid="{F5E80876-7EED-4548-947F-3E6B04542C6B}"/>
    <hyperlink ref="C64" location="'12'!A1" display="'12'!A1" xr:uid="{C87AC16B-D5C9-4191-A53D-77D77EBB2F0B}"/>
    <hyperlink ref="C18" location="'2'!A1" display="'2'!A1" xr:uid="{BE8A43DE-0199-4CCD-BECE-39F27747A41D}"/>
    <hyperlink ref="C19" location="'2'!A1" display="'2'!A1" xr:uid="{7E961015-0249-4C55-90FE-3D8D0A1C336D}"/>
    <hyperlink ref="C69" location="'13'!A1" display="'13'!A1" xr:uid="{325A2310-449F-432B-8FCD-274907F12234}"/>
    <hyperlink ref="C70" location="'13'!A1" display="'13'!A1" xr:uid="{52DF4C05-2F02-4CE7-9DA1-588EACA5AFC4}"/>
    <hyperlink ref="C71" location="'13'!A1" display="'13'!A1" xr:uid="{23E1DBAF-014B-4B2E-84DA-96BDF2DC44AC}"/>
  </hyperlinks>
  <pageMargins left="0.75" right="0.75" top="1" bottom="1" header="0.5" footer="0.5"/>
  <pageSetup scale="60" orientation="portrait" r:id="rId29"/>
  <headerFooter alignWithMargins="0"/>
  <drawing r:id="rId3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8:AS103"/>
  <sheetViews>
    <sheetView zoomScaleNormal="100" workbookViewId="0">
      <selection activeCell="E87" sqref="E87"/>
    </sheetView>
  </sheetViews>
  <sheetFormatPr defaultColWidth="8.85546875" defaultRowHeight="12.6" customHeight="1"/>
  <cols>
    <col min="1" max="1" width="17.85546875" style="9" customWidth="1"/>
    <col min="2" max="2" width="12.28515625" style="9" bestFit="1" customWidth="1"/>
    <col min="3" max="3" width="12.7109375" style="9" bestFit="1" customWidth="1"/>
    <col min="4" max="4" width="9.140625" style="9" customWidth="1"/>
    <col min="5" max="5" width="12.28515625" style="9" bestFit="1" customWidth="1"/>
    <col min="6" max="9" width="12.7109375" style="9" bestFit="1" customWidth="1"/>
    <col min="10" max="10" width="9.140625" style="9" customWidth="1"/>
    <col min="11" max="11" width="12.28515625" style="9" bestFit="1" customWidth="1"/>
    <col min="12" max="15" width="12.7109375" style="9" bestFit="1" customWidth="1"/>
    <col min="16" max="16" width="9.140625" style="9" customWidth="1"/>
    <col min="17" max="17" width="12.28515625" style="9" bestFit="1" customWidth="1"/>
    <col min="18" max="21" width="12.7109375" style="9" bestFit="1" customWidth="1"/>
    <col min="22" max="22" width="9.140625" style="9" customWidth="1"/>
    <col min="23" max="23" width="12" style="9" bestFit="1" customWidth="1"/>
    <col min="24" max="26" width="12.28515625" style="9" bestFit="1" customWidth="1"/>
    <col min="27" max="27" width="12" style="9" bestFit="1" customWidth="1"/>
    <col min="28" max="28" width="8.42578125" style="9" customWidth="1"/>
    <col min="29" max="29" width="12.28515625" style="9" bestFit="1" customWidth="1"/>
    <col min="30" max="32" width="12.7109375" style="9" bestFit="1" customWidth="1"/>
    <col min="33" max="33" width="11.5703125" style="9" bestFit="1" customWidth="1"/>
    <col min="34" max="34" width="8.42578125" style="9" customWidth="1"/>
    <col min="35" max="35" width="11.28515625" style="9" bestFit="1" customWidth="1"/>
    <col min="36" max="38" width="11.5703125" style="9" bestFit="1" customWidth="1"/>
    <col min="39" max="39" width="10.85546875" style="9" bestFit="1" customWidth="1"/>
    <col min="40" max="40" width="8.42578125" style="9" customWidth="1"/>
    <col min="41" max="41" width="11.28515625" style="9" bestFit="1" customWidth="1"/>
    <col min="42" max="44" width="11.5703125" style="9" bestFit="1" customWidth="1"/>
    <col min="45" max="45" width="10.85546875" style="9" bestFit="1" customWidth="1"/>
    <col min="46" max="16384" width="8.85546875" style="9"/>
  </cols>
  <sheetData>
    <row r="8" spans="1:45" ht="12.6" customHeight="1">
      <c r="A8" s="76" t="s">
        <v>1</v>
      </c>
    </row>
    <row r="9" spans="1:45" ht="12.6" customHeight="1">
      <c r="A9" s="77" t="s">
        <v>75</v>
      </c>
    </row>
    <row r="10" spans="1:45" ht="12.6" customHeight="1">
      <c r="A10" s="29"/>
      <c r="B10" s="37"/>
      <c r="C10" s="37"/>
      <c r="D10" s="37"/>
      <c r="L10" s="37"/>
      <c r="R10" s="37"/>
    </row>
    <row r="11" spans="1:45" s="15" customFormat="1" ht="12.6" customHeight="1">
      <c r="A11" s="28" t="s">
        <v>1642</v>
      </c>
    </row>
    <row r="12" spans="1:45" ht="12.6" customHeight="1">
      <c r="A12" s="88"/>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row>
    <row r="13" spans="1:45" ht="12.6" customHeight="1">
      <c r="A13" s="140" t="s">
        <v>1585</v>
      </c>
      <c r="B13" s="80" t="s">
        <v>2184</v>
      </c>
      <c r="C13" s="80" t="s">
        <v>2233</v>
      </c>
      <c r="D13" s="63"/>
      <c r="E13" s="80" t="s">
        <v>1914</v>
      </c>
      <c r="F13" s="80" t="s">
        <v>1969</v>
      </c>
      <c r="G13" s="80" t="s">
        <v>2020</v>
      </c>
      <c r="H13" s="80" t="s">
        <v>2069</v>
      </c>
      <c r="I13" s="80" t="s">
        <v>54</v>
      </c>
      <c r="J13" s="63"/>
      <c r="K13" s="80" t="s">
        <v>1589</v>
      </c>
      <c r="L13" s="80" t="s">
        <v>1662</v>
      </c>
      <c r="M13" s="80" t="s">
        <v>1728</v>
      </c>
      <c r="N13" s="80" t="s">
        <v>1785</v>
      </c>
      <c r="O13" s="80" t="s">
        <v>54</v>
      </c>
      <c r="P13" s="63"/>
      <c r="Q13" s="80" t="s">
        <v>1310</v>
      </c>
      <c r="R13" s="80" t="s">
        <v>1366</v>
      </c>
      <c r="S13" s="80" t="s">
        <v>1404</v>
      </c>
      <c r="T13" s="80" t="s">
        <v>1467</v>
      </c>
      <c r="U13" s="80" t="s">
        <v>54</v>
      </c>
      <c r="V13" s="63"/>
      <c r="W13" s="80" t="s">
        <v>1048</v>
      </c>
      <c r="X13" s="80" t="s">
        <v>1094</v>
      </c>
      <c r="Y13" s="80" t="s">
        <v>1142</v>
      </c>
      <c r="Z13" s="80" t="s">
        <v>1194</v>
      </c>
      <c r="AA13" s="80" t="s">
        <v>54</v>
      </c>
      <c r="AB13" s="63"/>
      <c r="AC13" s="80" t="s">
        <v>565</v>
      </c>
      <c r="AD13" s="80" t="s">
        <v>788</v>
      </c>
      <c r="AE13" s="80" t="s">
        <v>845</v>
      </c>
      <c r="AF13" s="80" t="s">
        <v>900</v>
      </c>
      <c r="AG13" s="173" t="s">
        <v>54</v>
      </c>
      <c r="AH13" s="63"/>
      <c r="AI13" s="80" t="s">
        <v>404</v>
      </c>
      <c r="AJ13" s="80" t="s">
        <v>405</v>
      </c>
      <c r="AK13" s="80" t="s">
        <v>406</v>
      </c>
      <c r="AL13" s="80" t="s">
        <v>407</v>
      </c>
      <c r="AM13" s="173" t="s">
        <v>54</v>
      </c>
      <c r="AN13" s="179"/>
      <c r="AO13" s="80" t="s">
        <v>232</v>
      </c>
      <c r="AP13" s="80" t="s">
        <v>233</v>
      </c>
      <c r="AQ13" s="80" t="s">
        <v>234</v>
      </c>
      <c r="AR13" s="80" t="s">
        <v>235</v>
      </c>
      <c r="AS13" s="173" t="s">
        <v>54</v>
      </c>
    </row>
    <row r="14" spans="1:45" ht="12.6" customHeight="1">
      <c r="A14" s="81" t="s">
        <v>24</v>
      </c>
      <c r="B14" s="175" t="s">
        <v>2193</v>
      </c>
      <c r="C14" s="175" t="s">
        <v>1394</v>
      </c>
      <c r="D14" s="63"/>
      <c r="E14" s="175" t="s">
        <v>659</v>
      </c>
      <c r="F14" s="175" t="s">
        <v>1989</v>
      </c>
      <c r="G14" s="175" t="s">
        <v>1989</v>
      </c>
      <c r="H14" s="175" t="s">
        <v>2114</v>
      </c>
      <c r="I14" s="175" t="s">
        <v>2120</v>
      </c>
      <c r="J14" s="63"/>
      <c r="K14" s="175" t="s">
        <v>1598</v>
      </c>
      <c r="L14" s="175" t="s">
        <v>1687</v>
      </c>
      <c r="M14" s="175" t="s">
        <v>1736</v>
      </c>
      <c r="N14" s="175" t="s">
        <v>1838</v>
      </c>
      <c r="O14" s="175" t="s">
        <v>1844</v>
      </c>
      <c r="P14" s="63"/>
      <c r="Q14" s="175" t="s">
        <v>1321</v>
      </c>
      <c r="R14" s="175" t="s">
        <v>1375</v>
      </c>
      <c r="S14" s="175" t="s">
        <v>1375</v>
      </c>
      <c r="T14" s="175" t="s">
        <v>1564</v>
      </c>
      <c r="U14" s="175" t="s">
        <v>1376</v>
      </c>
      <c r="V14" s="63"/>
      <c r="W14" s="175" t="s">
        <v>1062</v>
      </c>
      <c r="X14" s="175" t="s">
        <v>1111</v>
      </c>
      <c r="Y14" s="175" t="s">
        <v>1176</v>
      </c>
      <c r="Z14" s="175" t="s">
        <v>1176</v>
      </c>
      <c r="AA14" s="175" t="s">
        <v>1251</v>
      </c>
      <c r="AB14" s="63"/>
      <c r="AC14" s="175" t="s">
        <v>627</v>
      </c>
      <c r="AD14" s="175" t="s">
        <v>805</v>
      </c>
      <c r="AE14" s="175" t="s">
        <v>858</v>
      </c>
      <c r="AF14" s="175" t="s">
        <v>954</v>
      </c>
      <c r="AG14" s="176" t="s">
        <v>999</v>
      </c>
      <c r="AH14" s="63"/>
      <c r="AI14" s="175" t="s">
        <v>1043</v>
      </c>
      <c r="AJ14" s="175" t="s">
        <v>461</v>
      </c>
      <c r="AK14" s="175" t="s">
        <v>461</v>
      </c>
      <c r="AL14" s="175" t="s">
        <v>628</v>
      </c>
      <c r="AM14" s="176" t="s">
        <v>629</v>
      </c>
      <c r="AN14" s="174"/>
      <c r="AO14" s="175" t="s">
        <v>52</v>
      </c>
      <c r="AP14" s="175" t="s">
        <v>132</v>
      </c>
      <c r="AQ14" s="175" t="s">
        <v>184</v>
      </c>
      <c r="AR14" s="175" t="s">
        <v>53</v>
      </c>
      <c r="AS14" s="176" t="s">
        <v>240</v>
      </c>
    </row>
    <row r="15" spans="1:45" ht="12.6" customHeight="1">
      <c r="A15" s="81" t="s">
        <v>39</v>
      </c>
      <c r="B15" s="175" t="s">
        <v>2194</v>
      </c>
      <c r="C15" s="175" t="s">
        <v>2241</v>
      </c>
      <c r="D15" s="63"/>
      <c r="E15" s="175" t="s">
        <v>1932</v>
      </c>
      <c r="F15" s="175" t="s">
        <v>1990</v>
      </c>
      <c r="G15" s="175" t="s">
        <v>2039</v>
      </c>
      <c r="H15" s="175" t="s">
        <v>2115</v>
      </c>
      <c r="I15" s="175" t="s">
        <v>2121</v>
      </c>
      <c r="J15" s="63"/>
      <c r="K15" s="175" t="s">
        <v>1599</v>
      </c>
      <c r="L15" s="175" t="s">
        <v>1688</v>
      </c>
      <c r="M15" s="175" t="s">
        <v>1737</v>
      </c>
      <c r="N15" s="175" t="s">
        <v>1839</v>
      </c>
      <c r="O15" s="175" t="s">
        <v>1845</v>
      </c>
      <c r="P15" s="63"/>
      <c r="Q15" s="175" t="s">
        <v>1322</v>
      </c>
      <c r="R15" s="175" t="s">
        <v>1376</v>
      </c>
      <c r="S15" s="175" t="s">
        <v>1426</v>
      </c>
      <c r="T15" s="175" t="s">
        <v>1565</v>
      </c>
      <c r="U15" s="175" t="s">
        <v>1575</v>
      </c>
      <c r="V15" s="63"/>
      <c r="W15" s="175" t="s">
        <v>1063</v>
      </c>
      <c r="X15" s="175" t="s">
        <v>1112</v>
      </c>
      <c r="Y15" s="175" t="s">
        <v>1177</v>
      </c>
      <c r="Z15" s="175" t="s">
        <v>1201</v>
      </c>
      <c r="AA15" s="175" t="s">
        <v>1252</v>
      </c>
      <c r="AB15" s="63"/>
      <c r="AC15" s="175" t="s">
        <v>630</v>
      </c>
      <c r="AD15" s="175" t="s">
        <v>806</v>
      </c>
      <c r="AE15" s="175" t="s">
        <v>859</v>
      </c>
      <c r="AF15" s="175" t="s">
        <v>955</v>
      </c>
      <c r="AG15" s="176" t="s">
        <v>1000</v>
      </c>
      <c r="AH15" s="63"/>
      <c r="AI15" s="175" t="s">
        <v>431</v>
      </c>
      <c r="AJ15" s="175" t="s">
        <v>462</v>
      </c>
      <c r="AK15" s="175" t="s">
        <v>440</v>
      </c>
      <c r="AL15" s="175" t="s">
        <v>588</v>
      </c>
      <c r="AM15" s="176" t="s">
        <v>254</v>
      </c>
      <c r="AN15" s="139"/>
      <c r="AO15" s="175" t="s">
        <v>161</v>
      </c>
      <c r="AP15" s="175" t="s">
        <v>63</v>
      </c>
      <c r="AQ15" s="175" t="s">
        <v>65</v>
      </c>
      <c r="AR15" s="175" t="s">
        <v>63</v>
      </c>
      <c r="AS15" s="176" t="s">
        <v>274</v>
      </c>
    </row>
    <row r="16" spans="1:45" ht="12.6" customHeight="1">
      <c r="A16" s="81" t="s">
        <v>8</v>
      </c>
      <c r="B16" s="175" t="s">
        <v>2195</v>
      </c>
      <c r="C16" s="175" t="s">
        <v>2242</v>
      </c>
      <c r="D16" s="63"/>
      <c r="E16" s="175" t="s">
        <v>1933</v>
      </c>
      <c r="F16" s="175" t="s">
        <v>1991</v>
      </c>
      <c r="G16" s="175" t="s">
        <v>2040</v>
      </c>
      <c r="H16" s="175" t="s">
        <v>2116</v>
      </c>
      <c r="I16" s="175" t="s">
        <v>2122</v>
      </c>
      <c r="J16" s="63"/>
      <c r="K16" s="175" t="s">
        <v>1600</v>
      </c>
      <c r="L16" s="175" t="s">
        <v>1600</v>
      </c>
      <c r="M16" s="175" t="s">
        <v>1738</v>
      </c>
      <c r="N16" s="175" t="s">
        <v>1840</v>
      </c>
      <c r="O16" s="175" t="s">
        <v>1846</v>
      </c>
      <c r="P16" s="63"/>
      <c r="Q16" s="175" t="s">
        <v>1323</v>
      </c>
      <c r="R16" s="175" t="s">
        <v>1377</v>
      </c>
      <c r="S16" s="175" t="s">
        <v>1427</v>
      </c>
      <c r="T16" s="175" t="s">
        <v>1566</v>
      </c>
      <c r="U16" s="175" t="s">
        <v>1576</v>
      </c>
      <c r="V16" s="63"/>
      <c r="W16" s="175" t="s">
        <v>1064</v>
      </c>
      <c r="X16" s="175" t="s">
        <v>1113</v>
      </c>
      <c r="Y16" s="175" t="s">
        <v>1178</v>
      </c>
      <c r="Z16" s="175" t="s">
        <v>1178</v>
      </c>
      <c r="AA16" s="175" t="s">
        <v>1253</v>
      </c>
      <c r="AB16" s="63"/>
      <c r="AC16" s="175" t="s">
        <v>631</v>
      </c>
      <c r="AD16" s="175" t="s">
        <v>628</v>
      </c>
      <c r="AE16" s="175" t="s">
        <v>628</v>
      </c>
      <c r="AF16" s="175" t="s">
        <v>956</v>
      </c>
      <c r="AG16" s="176" t="s">
        <v>1001</v>
      </c>
      <c r="AH16" s="63"/>
      <c r="AI16" s="175" t="s">
        <v>957</v>
      </c>
      <c r="AJ16" s="175" t="s">
        <v>463</v>
      </c>
      <c r="AK16" s="175" t="s">
        <v>546</v>
      </c>
      <c r="AL16" s="175" t="s">
        <v>546</v>
      </c>
      <c r="AM16" s="176" t="s">
        <v>457</v>
      </c>
      <c r="AN16" s="174"/>
      <c r="AO16" s="175" t="s">
        <v>52</v>
      </c>
      <c r="AP16" s="175" t="s">
        <v>83</v>
      </c>
      <c r="AQ16" s="175" t="s">
        <v>147</v>
      </c>
      <c r="AR16" s="175" t="s">
        <v>47</v>
      </c>
      <c r="AS16" s="176" t="s">
        <v>366</v>
      </c>
    </row>
    <row r="17" spans="1:45" ht="12.6" customHeight="1">
      <c r="A17" s="81" t="s">
        <v>35</v>
      </c>
      <c r="B17" s="175" t="s">
        <v>880</v>
      </c>
      <c r="C17" s="175" t="s">
        <v>880</v>
      </c>
      <c r="D17" s="63"/>
      <c r="E17" s="175" t="s">
        <v>880</v>
      </c>
      <c r="F17" s="175" t="s">
        <v>880</v>
      </c>
      <c r="G17" s="175" t="s">
        <v>880</v>
      </c>
      <c r="H17" s="175" t="s">
        <v>880</v>
      </c>
      <c r="I17" s="175" t="s">
        <v>1847</v>
      </c>
      <c r="J17" s="63"/>
      <c r="K17" s="175" t="s">
        <v>880</v>
      </c>
      <c r="L17" s="175" t="s">
        <v>880</v>
      </c>
      <c r="M17" s="175" t="s">
        <v>880</v>
      </c>
      <c r="N17" s="175" t="s">
        <v>880</v>
      </c>
      <c r="O17" s="175" t="s">
        <v>1847</v>
      </c>
      <c r="P17" s="63"/>
      <c r="Q17" s="175" t="s">
        <v>957</v>
      </c>
      <c r="R17" s="175" t="s">
        <v>880</v>
      </c>
      <c r="S17" s="175" t="s">
        <v>880</v>
      </c>
      <c r="T17" s="175" t="s">
        <v>880</v>
      </c>
      <c r="U17" s="175" t="s">
        <v>1080</v>
      </c>
      <c r="V17" s="63"/>
      <c r="W17" s="175" t="s">
        <v>957</v>
      </c>
      <c r="X17" s="175" t="s">
        <v>957</v>
      </c>
      <c r="Y17" s="175" t="s">
        <v>957</v>
      </c>
      <c r="Z17" s="175" t="s">
        <v>957</v>
      </c>
      <c r="AA17" s="175" t="s">
        <v>888</v>
      </c>
      <c r="AB17" s="63"/>
      <c r="AC17" s="175" t="s">
        <v>438</v>
      </c>
      <c r="AD17" s="175" t="s">
        <v>438</v>
      </c>
      <c r="AE17" s="175" t="s">
        <v>438</v>
      </c>
      <c r="AF17" s="175" t="s">
        <v>957</v>
      </c>
      <c r="AG17" s="176" t="s">
        <v>883</v>
      </c>
      <c r="AH17" s="63"/>
      <c r="AI17" s="175" t="s">
        <v>430</v>
      </c>
      <c r="AJ17" s="175" t="s">
        <v>430</v>
      </c>
      <c r="AK17" s="175" t="s">
        <v>438</v>
      </c>
      <c r="AL17" s="175" t="s">
        <v>438</v>
      </c>
      <c r="AM17" s="176" t="s">
        <v>69</v>
      </c>
      <c r="AN17" s="139"/>
      <c r="AO17" s="175" t="s">
        <v>46</v>
      </c>
      <c r="AP17" s="175" t="s">
        <v>46</v>
      </c>
      <c r="AQ17" s="175" t="s">
        <v>46</v>
      </c>
      <c r="AR17" s="175" t="s">
        <v>46</v>
      </c>
      <c r="AS17" s="176" t="s">
        <v>46</v>
      </c>
    </row>
    <row r="18" spans="1:45" ht="12.6" customHeight="1">
      <c r="A18" s="81" t="s">
        <v>40</v>
      </c>
      <c r="B18" s="175" t="s">
        <v>2196</v>
      </c>
      <c r="C18" s="175" t="s">
        <v>2243</v>
      </c>
      <c r="D18" s="63"/>
      <c r="E18" s="175" t="s">
        <v>1934</v>
      </c>
      <c r="F18" s="175" t="s">
        <v>1992</v>
      </c>
      <c r="G18" s="175" t="s">
        <v>2041</v>
      </c>
      <c r="H18" s="175" t="s">
        <v>2117</v>
      </c>
      <c r="I18" s="175" t="s">
        <v>2123</v>
      </c>
      <c r="J18" s="63"/>
      <c r="K18" s="175" t="s">
        <v>1601</v>
      </c>
      <c r="L18" s="175" t="s">
        <v>1689</v>
      </c>
      <c r="M18" s="175" t="s">
        <v>1739</v>
      </c>
      <c r="N18" s="175" t="s">
        <v>1842</v>
      </c>
      <c r="O18" s="175" t="s">
        <v>1849</v>
      </c>
      <c r="P18" s="63"/>
      <c r="Q18" s="175" t="s">
        <v>1324</v>
      </c>
      <c r="R18" s="175" t="s">
        <v>1378</v>
      </c>
      <c r="S18" s="175" t="s">
        <v>1428</v>
      </c>
      <c r="T18" s="175" t="s">
        <v>1567</v>
      </c>
      <c r="U18" s="175" t="s">
        <v>1577</v>
      </c>
      <c r="V18" s="63"/>
      <c r="W18" s="175" t="s">
        <v>1065</v>
      </c>
      <c r="X18" s="175" t="s">
        <v>1114</v>
      </c>
      <c r="Y18" s="175" t="s">
        <v>1179</v>
      </c>
      <c r="Z18" s="175" t="s">
        <v>1202</v>
      </c>
      <c r="AA18" s="175" t="s">
        <v>1254</v>
      </c>
      <c r="AB18" s="63"/>
      <c r="AC18" s="175" t="s">
        <v>632</v>
      </c>
      <c r="AD18" s="175" t="s">
        <v>807</v>
      </c>
      <c r="AE18" s="175" t="s">
        <v>860</v>
      </c>
      <c r="AF18" s="175" t="s">
        <v>958</v>
      </c>
      <c r="AG18" s="176" t="s">
        <v>1002</v>
      </c>
      <c r="AH18" s="63"/>
      <c r="AI18" s="175" t="s">
        <v>1044</v>
      </c>
      <c r="AJ18" s="175" t="s">
        <v>464</v>
      </c>
      <c r="AK18" s="175" t="s">
        <v>547</v>
      </c>
      <c r="AL18" s="175" t="s">
        <v>633</v>
      </c>
      <c r="AM18" s="176" t="s">
        <v>634</v>
      </c>
      <c r="AN18" s="179"/>
      <c r="AO18" s="175" t="s">
        <v>238</v>
      </c>
      <c r="AP18" s="175" t="s">
        <v>301</v>
      </c>
      <c r="AQ18" s="175" t="s">
        <v>226</v>
      </c>
      <c r="AR18" s="175" t="s">
        <v>367</v>
      </c>
      <c r="AS18" s="176" t="s">
        <v>368</v>
      </c>
    </row>
    <row r="19" spans="1:45" ht="12.6" customHeight="1">
      <c r="A19" s="81" t="s">
        <v>68</v>
      </c>
      <c r="B19" s="175" t="s">
        <v>2197</v>
      </c>
      <c r="C19" s="175" t="s">
        <v>2244</v>
      </c>
      <c r="D19" s="63"/>
      <c r="E19" s="175" t="s">
        <v>1935</v>
      </c>
      <c r="F19" s="175" t="s">
        <v>1993</v>
      </c>
      <c r="G19" s="175" t="s">
        <v>2042</v>
      </c>
      <c r="H19" s="175" t="s">
        <v>2118</v>
      </c>
      <c r="I19" s="175" t="s">
        <v>2124</v>
      </c>
      <c r="J19" s="63"/>
      <c r="K19" s="175" t="s">
        <v>1602</v>
      </c>
      <c r="L19" s="175" t="s">
        <v>1690</v>
      </c>
      <c r="M19" s="175" t="s">
        <v>1740</v>
      </c>
      <c r="N19" s="175" t="s">
        <v>1841</v>
      </c>
      <c r="O19" s="175" t="s">
        <v>1848</v>
      </c>
      <c r="P19" s="63"/>
      <c r="Q19" s="175" t="s">
        <v>1325</v>
      </c>
      <c r="R19" s="175" t="s">
        <v>1379</v>
      </c>
      <c r="S19" s="175" t="s">
        <v>1429</v>
      </c>
      <c r="T19" s="175" t="s">
        <v>1568</v>
      </c>
      <c r="U19" s="175" t="s">
        <v>1578</v>
      </c>
      <c r="V19" s="63"/>
      <c r="W19" s="175" t="s">
        <v>1066</v>
      </c>
      <c r="X19" s="175" t="s">
        <v>1115</v>
      </c>
      <c r="Y19" s="175" t="s">
        <v>1180</v>
      </c>
      <c r="Z19" s="175" t="s">
        <v>1203</v>
      </c>
      <c r="AA19" s="175" t="s">
        <v>1255</v>
      </c>
      <c r="AB19" s="63"/>
      <c r="AC19" s="175" t="s">
        <v>635</v>
      </c>
      <c r="AD19" s="175" t="s">
        <v>808</v>
      </c>
      <c r="AE19" s="175" t="s">
        <v>861</v>
      </c>
      <c r="AF19" s="175" t="s">
        <v>959</v>
      </c>
      <c r="AG19" s="176" t="s">
        <v>1003</v>
      </c>
      <c r="AH19" s="63"/>
      <c r="AI19" s="175" t="s">
        <v>1045</v>
      </c>
      <c r="AJ19" s="175" t="s">
        <v>465</v>
      </c>
      <c r="AK19" s="175" t="s">
        <v>548</v>
      </c>
      <c r="AL19" s="175" t="s">
        <v>636</v>
      </c>
      <c r="AM19" s="176" t="s">
        <v>637</v>
      </c>
      <c r="AN19" s="179"/>
      <c r="AO19" s="175" t="s">
        <v>225</v>
      </c>
      <c r="AP19" s="175" t="s">
        <v>291</v>
      </c>
      <c r="AQ19" s="175" t="s">
        <v>63</v>
      </c>
      <c r="AR19" s="175" t="s">
        <v>369</v>
      </c>
      <c r="AS19" s="176" t="s">
        <v>370</v>
      </c>
    </row>
    <row r="20" spans="1:45" ht="12.6" customHeight="1">
      <c r="A20" s="177" t="s">
        <v>22</v>
      </c>
      <c r="B20" s="176" t="s">
        <v>2198</v>
      </c>
      <c r="C20" s="176" t="s">
        <v>2245</v>
      </c>
      <c r="D20" s="63"/>
      <c r="E20" s="176" t="s">
        <v>1994</v>
      </c>
      <c r="F20" s="176" t="s">
        <v>1995</v>
      </c>
      <c r="G20" s="176" t="s">
        <v>2043</v>
      </c>
      <c r="H20" s="176" t="s">
        <v>2119</v>
      </c>
      <c r="I20" s="176" t="s">
        <v>2125</v>
      </c>
      <c r="J20" s="63"/>
      <c r="K20" s="176" t="s">
        <v>1603</v>
      </c>
      <c r="L20" s="176" t="s">
        <v>1691</v>
      </c>
      <c r="M20" s="176" t="s">
        <v>1741</v>
      </c>
      <c r="N20" s="176" t="s">
        <v>1843</v>
      </c>
      <c r="O20" s="176" t="s">
        <v>1850</v>
      </c>
      <c r="P20" s="63"/>
      <c r="Q20" s="176" t="s">
        <v>1326</v>
      </c>
      <c r="R20" s="176" t="s">
        <v>1380</v>
      </c>
      <c r="S20" s="176" t="s">
        <v>1430</v>
      </c>
      <c r="T20" s="176" t="s">
        <v>1569</v>
      </c>
      <c r="U20" s="176" t="s">
        <v>1579</v>
      </c>
      <c r="V20" s="63"/>
      <c r="W20" s="176" t="s">
        <v>1067</v>
      </c>
      <c r="X20" s="176" t="s">
        <v>1116</v>
      </c>
      <c r="Y20" s="176" t="s">
        <v>1181</v>
      </c>
      <c r="Z20" s="176" t="s">
        <v>1204</v>
      </c>
      <c r="AA20" s="176" t="s">
        <v>1256</v>
      </c>
      <c r="AB20" s="63"/>
      <c r="AC20" s="176" t="s">
        <v>638</v>
      </c>
      <c r="AD20" s="176" t="s">
        <v>809</v>
      </c>
      <c r="AE20" s="176" t="s">
        <v>862</v>
      </c>
      <c r="AF20" s="176" t="s">
        <v>960</v>
      </c>
      <c r="AG20" s="176" t="s">
        <v>1004</v>
      </c>
      <c r="AH20" s="63"/>
      <c r="AI20" s="176" t="s">
        <v>1046</v>
      </c>
      <c r="AJ20" s="176" t="s">
        <v>466</v>
      </c>
      <c r="AK20" s="176" t="s">
        <v>549</v>
      </c>
      <c r="AL20" s="176" t="s">
        <v>639</v>
      </c>
      <c r="AM20" s="176" t="s">
        <v>608</v>
      </c>
      <c r="AN20" s="174"/>
      <c r="AO20" s="176" t="s">
        <v>236</v>
      </c>
      <c r="AP20" s="176" t="s">
        <v>299</v>
      </c>
      <c r="AQ20" s="176" t="s">
        <v>305</v>
      </c>
      <c r="AR20" s="176" t="s">
        <v>371</v>
      </c>
      <c r="AS20" s="176" t="s">
        <v>372</v>
      </c>
    </row>
    <row r="22" spans="1:45" ht="12.6" customHeight="1">
      <c r="A22" s="28" t="s">
        <v>1643</v>
      </c>
    </row>
    <row r="24" spans="1:45" ht="12.6" customHeight="1">
      <c r="A24" s="140"/>
      <c r="B24" s="80" t="s">
        <v>2184</v>
      </c>
      <c r="C24" s="80" t="s">
        <v>2233</v>
      </c>
      <c r="D24" s="63"/>
      <c r="E24" s="80" t="s">
        <v>1914</v>
      </c>
      <c r="F24" s="80" t="s">
        <v>1969</v>
      </c>
      <c r="G24" s="80" t="s">
        <v>2020</v>
      </c>
      <c r="H24" s="80" t="s">
        <v>2069</v>
      </c>
      <c r="I24" s="80" t="s">
        <v>54</v>
      </c>
      <c r="J24" s="63"/>
      <c r="K24" s="80" t="s">
        <v>1589</v>
      </c>
      <c r="L24" s="80" t="s">
        <v>1662</v>
      </c>
      <c r="M24" s="80" t="s">
        <v>1728</v>
      </c>
      <c r="N24" s="80" t="s">
        <v>1785</v>
      </c>
      <c r="O24" s="80" t="s">
        <v>54</v>
      </c>
      <c r="P24" s="63"/>
      <c r="Q24" s="80" t="s">
        <v>1310</v>
      </c>
      <c r="R24" s="80" t="s">
        <v>1366</v>
      </c>
      <c r="S24" s="80" t="s">
        <v>1404</v>
      </c>
      <c r="T24" s="80" t="s">
        <v>1467</v>
      </c>
      <c r="U24" s="80" t="s">
        <v>54</v>
      </c>
      <c r="V24" s="63"/>
      <c r="W24" s="80" t="s">
        <v>1048</v>
      </c>
      <c r="X24" s="80" t="s">
        <v>1094</v>
      </c>
      <c r="Y24" s="80" t="s">
        <v>1142</v>
      </c>
      <c r="Z24" s="80" t="s">
        <v>1194</v>
      </c>
      <c r="AA24" s="80" t="s">
        <v>54</v>
      </c>
      <c r="AB24" s="63"/>
      <c r="AC24" s="80" t="s">
        <v>565</v>
      </c>
      <c r="AD24" s="80" t="s">
        <v>788</v>
      </c>
      <c r="AE24" s="80" t="s">
        <v>845</v>
      </c>
      <c r="AF24" s="80" t="s">
        <v>900</v>
      </c>
      <c r="AG24" s="173" t="s">
        <v>54</v>
      </c>
      <c r="AH24" s="63"/>
      <c r="AI24" s="80" t="s">
        <v>404</v>
      </c>
      <c r="AJ24" s="80" t="s">
        <v>405</v>
      </c>
      <c r="AK24" s="80" t="s">
        <v>406</v>
      </c>
      <c r="AL24" s="80" t="s">
        <v>407</v>
      </c>
      <c r="AM24" s="173" t="s">
        <v>54</v>
      </c>
      <c r="AN24" s="179"/>
      <c r="AO24" s="80" t="s">
        <v>232</v>
      </c>
      <c r="AP24" s="80" t="s">
        <v>233</v>
      </c>
      <c r="AQ24" s="80" t="s">
        <v>234</v>
      </c>
      <c r="AR24" s="80" t="s">
        <v>235</v>
      </c>
      <c r="AS24" s="173" t="s">
        <v>54</v>
      </c>
    </row>
    <row r="25" spans="1:45" ht="12.6" customHeight="1">
      <c r="A25" s="81" t="s">
        <v>24</v>
      </c>
      <c r="B25" s="175" t="s">
        <v>2199</v>
      </c>
      <c r="C25" s="175" t="s">
        <v>2246</v>
      </c>
      <c r="D25" s="63"/>
      <c r="E25" s="175" t="s">
        <v>1936</v>
      </c>
      <c r="F25" s="175" t="s">
        <v>1996</v>
      </c>
      <c r="G25" s="175" t="s">
        <v>2044</v>
      </c>
      <c r="H25" s="175" t="s">
        <v>2126</v>
      </c>
      <c r="I25" s="175" t="s">
        <v>2131</v>
      </c>
      <c r="J25" s="63"/>
      <c r="K25" s="175" t="s">
        <v>1604</v>
      </c>
      <c r="L25" s="175" t="s">
        <v>1692</v>
      </c>
      <c r="M25" s="175" t="s">
        <v>1742</v>
      </c>
      <c r="N25" s="175" t="s">
        <v>1851</v>
      </c>
      <c r="O25" s="175" t="s">
        <v>1857</v>
      </c>
      <c r="P25" s="63"/>
      <c r="Q25" s="175" t="s">
        <v>1327</v>
      </c>
      <c r="R25" s="175" t="s">
        <v>1381</v>
      </c>
      <c r="S25" s="175" t="s">
        <v>1431</v>
      </c>
      <c r="T25" s="175" t="s">
        <v>1570</v>
      </c>
      <c r="U25" s="175" t="s">
        <v>1580</v>
      </c>
      <c r="V25" s="63"/>
      <c r="W25" s="175" t="s">
        <v>1068</v>
      </c>
      <c r="X25" s="175" t="s">
        <v>1117</v>
      </c>
      <c r="Y25" s="175" t="s">
        <v>1182</v>
      </c>
      <c r="Z25" s="175" t="s">
        <v>1205</v>
      </c>
      <c r="AA25" s="175" t="s">
        <v>1257</v>
      </c>
      <c r="AB25" s="63"/>
      <c r="AC25" s="175" t="s">
        <v>663</v>
      </c>
      <c r="AD25" s="175" t="s">
        <v>663</v>
      </c>
      <c r="AE25" s="175" t="s">
        <v>853</v>
      </c>
      <c r="AF25" s="175" t="s">
        <v>961</v>
      </c>
      <c r="AG25" s="176" t="s">
        <v>1005</v>
      </c>
      <c r="AH25" s="63"/>
      <c r="AI25" s="175" t="s">
        <v>1039</v>
      </c>
      <c r="AJ25" s="175" t="s">
        <v>467</v>
      </c>
      <c r="AK25" s="175" t="s">
        <v>550</v>
      </c>
      <c r="AL25" s="175" t="s">
        <v>664</v>
      </c>
      <c r="AM25" s="176" t="s">
        <v>665</v>
      </c>
      <c r="AN25" s="179"/>
      <c r="AO25" s="175" t="s">
        <v>239</v>
      </c>
      <c r="AP25" s="175" t="s">
        <v>95</v>
      </c>
      <c r="AQ25" s="175" t="s">
        <v>199</v>
      </c>
      <c r="AR25" s="175" t="s">
        <v>373</v>
      </c>
      <c r="AS25" s="176" t="s">
        <v>374</v>
      </c>
    </row>
    <row r="26" spans="1:45" ht="12.6" customHeight="1">
      <c r="A26" s="81" t="s">
        <v>39</v>
      </c>
      <c r="B26" s="175" t="s">
        <v>2200</v>
      </c>
      <c r="C26" s="175" t="s">
        <v>2247</v>
      </c>
      <c r="D26" s="63"/>
      <c r="E26" s="175" t="s">
        <v>1937</v>
      </c>
      <c r="F26" s="175" t="s">
        <v>1997</v>
      </c>
      <c r="G26" s="175" t="s">
        <v>2045</v>
      </c>
      <c r="H26" s="175" t="s">
        <v>2127</v>
      </c>
      <c r="I26" s="175" t="s">
        <v>2132</v>
      </c>
      <c r="J26" s="63"/>
      <c r="K26" s="175" t="s">
        <v>1605</v>
      </c>
      <c r="L26" s="175" t="s">
        <v>1693</v>
      </c>
      <c r="M26" s="175" t="s">
        <v>1743</v>
      </c>
      <c r="N26" s="175" t="s">
        <v>1852</v>
      </c>
      <c r="O26" s="175" t="s">
        <v>1858</v>
      </c>
      <c r="P26" s="63"/>
      <c r="Q26" s="175" t="s">
        <v>1328</v>
      </c>
      <c r="R26" s="175" t="s">
        <v>1382</v>
      </c>
      <c r="S26" s="175" t="s">
        <v>1432</v>
      </c>
      <c r="T26" s="175" t="s">
        <v>1571</v>
      </c>
      <c r="U26" s="175" t="s">
        <v>1581</v>
      </c>
      <c r="V26" s="63"/>
      <c r="W26" s="175" t="s">
        <v>1069</v>
      </c>
      <c r="X26" s="175" t="s">
        <v>1118</v>
      </c>
      <c r="Y26" s="175" t="s">
        <v>1183</v>
      </c>
      <c r="Z26" s="175" t="s">
        <v>1206</v>
      </c>
      <c r="AA26" s="175" t="s">
        <v>1258</v>
      </c>
      <c r="AB26" s="63"/>
      <c r="AC26" s="175" t="s">
        <v>666</v>
      </c>
      <c r="AD26" s="175" t="s">
        <v>810</v>
      </c>
      <c r="AE26" s="175" t="s">
        <v>854</v>
      </c>
      <c r="AF26" s="175" t="s">
        <v>962</v>
      </c>
      <c r="AG26" s="176" t="s">
        <v>1006</v>
      </c>
      <c r="AH26" s="63"/>
      <c r="AI26" s="175" t="s">
        <v>1040</v>
      </c>
      <c r="AJ26" s="175" t="s">
        <v>468</v>
      </c>
      <c r="AK26" s="175" t="s">
        <v>551</v>
      </c>
      <c r="AL26" s="175" t="s">
        <v>667</v>
      </c>
      <c r="AM26" s="176" t="s">
        <v>668</v>
      </c>
      <c r="AN26" s="179"/>
      <c r="AO26" s="175" t="s">
        <v>240</v>
      </c>
      <c r="AP26" s="175" t="s">
        <v>302</v>
      </c>
      <c r="AQ26" s="175" t="s">
        <v>255</v>
      </c>
      <c r="AR26" s="175" t="s">
        <v>375</v>
      </c>
      <c r="AS26" s="176" t="s">
        <v>376</v>
      </c>
    </row>
    <row r="27" spans="1:45" ht="12.6" customHeight="1">
      <c r="A27" s="81" t="s">
        <v>8</v>
      </c>
      <c r="B27" s="175" t="s">
        <v>2201</v>
      </c>
      <c r="C27" s="175" t="s">
        <v>2248</v>
      </c>
      <c r="D27" s="63"/>
      <c r="E27" s="175" t="s">
        <v>1938</v>
      </c>
      <c r="F27" s="175" t="s">
        <v>1998</v>
      </c>
      <c r="G27" s="175" t="s">
        <v>2046</v>
      </c>
      <c r="H27" s="175" t="s">
        <v>2128</v>
      </c>
      <c r="I27" s="175" t="s">
        <v>2133</v>
      </c>
      <c r="J27" s="63"/>
      <c r="K27" s="175" t="s">
        <v>1606</v>
      </c>
      <c r="L27" s="175" t="s">
        <v>1694</v>
      </c>
      <c r="M27" s="175" t="s">
        <v>1744</v>
      </c>
      <c r="N27" s="175" t="s">
        <v>1853</v>
      </c>
      <c r="O27" s="175" t="s">
        <v>1859</v>
      </c>
      <c r="P27" s="63"/>
      <c r="Q27" s="175" t="s">
        <v>1329</v>
      </c>
      <c r="R27" s="175" t="s">
        <v>1383</v>
      </c>
      <c r="S27" s="175" t="s">
        <v>1433</v>
      </c>
      <c r="T27" s="175" t="s">
        <v>1572</v>
      </c>
      <c r="U27" s="175" t="s">
        <v>1582</v>
      </c>
      <c r="V27" s="63"/>
      <c r="W27" s="175" t="s">
        <v>1070</v>
      </c>
      <c r="X27" s="175" t="s">
        <v>1119</v>
      </c>
      <c r="Y27" s="175" t="s">
        <v>1184</v>
      </c>
      <c r="Z27" s="175" t="s">
        <v>1207</v>
      </c>
      <c r="AA27" s="175" t="s">
        <v>1259</v>
      </c>
      <c r="AB27" s="63"/>
      <c r="AC27" s="175" t="s">
        <v>669</v>
      </c>
      <c r="AD27" s="175" t="s">
        <v>811</v>
      </c>
      <c r="AE27" s="175" t="s">
        <v>855</v>
      </c>
      <c r="AF27" s="175" t="s">
        <v>963</v>
      </c>
      <c r="AG27" s="176" t="s">
        <v>1007</v>
      </c>
      <c r="AH27" s="63"/>
      <c r="AI27" s="175" t="s">
        <v>1041</v>
      </c>
      <c r="AJ27" s="175" t="s">
        <v>469</v>
      </c>
      <c r="AK27" s="175" t="s">
        <v>552</v>
      </c>
      <c r="AL27" s="175" t="s">
        <v>670</v>
      </c>
      <c r="AM27" s="176" t="s">
        <v>671</v>
      </c>
      <c r="AN27" s="179"/>
      <c r="AO27" s="175" t="s">
        <v>241</v>
      </c>
      <c r="AP27" s="175" t="s">
        <v>303</v>
      </c>
      <c r="AQ27" s="175" t="s">
        <v>272</v>
      </c>
      <c r="AR27" s="175" t="s">
        <v>377</v>
      </c>
      <c r="AS27" s="176" t="s">
        <v>378</v>
      </c>
    </row>
    <row r="28" spans="1:45" ht="12.6" customHeight="1">
      <c r="A28" s="81" t="s">
        <v>35</v>
      </c>
      <c r="B28" s="175" t="s">
        <v>536</v>
      </c>
      <c r="C28" s="175" t="s">
        <v>536</v>
      </c>
      <c r="D28" s="63"/>
      <c r="E28" s="175" t="s">
        <v>536</v>
      </c>
      <c r="F28" s="175" t="s">
        <v>536</v>
      </c>
      <c r="G28" s="175" t="s">
        <v>536</v>
      </c>
      <c r="H28" s="175" t="s">
        <v>536</v>
      </c>
      <c r="I28" s="175" t="s">
        <v>1008</v>
      </c>
      <c r="J28" s="63"/>
      <c r="K28" s="175" t="s">
        <v>536</v>
      </c>
      <c r="L28" s="175" t="s">
        <v>536</v>
      </c>
      <c r="M28" s="175" t="s">
        <v>536</v>
      </c>
      <c r="N28" s="175" t="s">
        <v>1854</v>
      </c>
      <c r="O28" s="175" t="s">
        <v>1008</v>
      </c>
      <c r="P28" s="63"/>
      <c r="Q28" s="175" t="s">
        <v>536</v>
      </c>
      <c r="R28" s="175" t="s">
        <v>536</v>
      </c>
      <c r="S28" s="175" t="s">
        <v>536</v>
      </c>
      <c r="T28" s="175" t="s">
        <v>536</v>
      </c>
      <c r="U28" s="175" t="s">
        <v>1008</v>
      </c>
      <c r="V28" s="63"/>
      <c r="W28" s="175" t="s">
        <v>536</v>
      </c>
      <c r="X28" s="175" t="s">
        <v>536</v>
      </c>
      <c r="Y28" s="175" t="s">
        <v>536</v>
      </c>
      <c r="Z28" s="175" t="s">
        <v>536</v>
      </c>
      <c r="AA28" s="175" t="s">
        <v>1008</v>
      </c>
      <c r="AB28" s="63"/>
      <c r="AC28" s="175" t="s">
        <v>536</v>
      </c>
      <c r="AD28" s="175" t="s">
        <v>536</v>
      </c>
      <c r="AE28" s="175" t="s">
        <v>536</v>
      </c>
      <c r="AF28" s="175" t="s">
        <v>536</v>
      </c>
      <c r="AG28" s="176" t="s">
        <v>1008</v>
      </c>
      <c r="AH28" s="63"/>
      <c r="AI28" s="175" t="s">
        <v>430</v>
      </c>
      <c r="AJ28" s="175" t="s">
        <v>430</v>
      </c>
      <c r="AK28" s="175" t="s">
        <v>431</v>
      </c>
      <c r="AL28" s="175" t="s">
        <v>536</v>
      </c>
      <c r="AM28" s="176" t="s">
        <v>308</v>
      </c>
      <c r="AN28" s="179"/>
      <c r="AO28" s="175" t="s">
        <v>46</v>
      </c>
      <c r="AP28" s="175" t="s">
        <v>46</v>
      </c>
      <c r="AQ28" s="175" t="s">
        <v>46</v>
      </c>
      <c r="AR28" s="175" t="s">
        <v>46</v>
      </c>
      <c r="AS28" s="176" t="s">
        <v>46</v>
      </c>
    </row>
    <row r="29" spans="1:45" ht="12.6" customHeight="1">
      <c r="A29" s="81" t="s">
        <v>25</v>
      </c>
      <c r="B29" s="175" t="s">
        <v>2202</v>
      </c>
      <c r="C29" s="175" t="s">
        <v>2249</v>
      </c>
      <c r="D29" s="63"/>
      <c r="E29" s="175" t="s">
        <v>1939</v>
      </c>
      <c r="F29" s="175" t="s">
        <v>1999</v>
      </c>
      <c r="G29" s="175" t="s">
        <v>2047</v>
      </c>
      <c r="H29" s="175" t="s">
        <v>2129</v>
      </c>
      <c r="I29" s="175" t="s">
        <v>2134</v>
      </c>
      <c r="J29" s="63"/>
      <c r="K29" s="175" t="s">
        <v>1607</v>
      </c>
      <c r="L29" s="175" t="s">
        <v>1695</v>
      </c>
      <c r="M29" s="175" t="s">
        <v>1745</v>
      </c>
      <c r="N29" s="175" t="s">
        <v>1855</v>
      </c>
      <c r="O29" s="175" t="s">
        <v>1860</v>
      </c>
      <c r="P29" s="63"/>
      <c r="Q29" s="175" t="s">
        <v>1330</v>
      </c>
      <c r="R29" s="175" t="s">
        <v>1384</v>
      </c>
      <c r="S29" s="175" t="s">
        <v>1434</v>
      </c>
      <c r="T29" s="175" t="s">
        <v>1573</v>
      </c>
      <c r="U29" s="175" t="s">
        <v>1583</v>
      </c>
      <c r="V29" s="63"/>
      <c r="W29" s="175" t="s">
        <v>1071</v>
      </c>
      <c r="X29" s="175" t="s">
        <v>1120</v>
      </c>
      <c r="Y29" s="175" t="s">
        <v>1185</v>
      </c>
      <c r="Z29" s="175" t="s">
        <v>1208</v>
      </c>
      <c r="AA29" s="175" t="s">
        <v>1260</v>
      </c>
      <c r="AB29" s="63"/>
      <c r="AC29" s="175" t="s">
        <v>672</v>
      </c>
      <c r="AD29" s="175" t="s">
        <v>812</v>
      </c>
      <c r="AE29" s="175" t="s">
        <v>856</v>
      </c>
      <c r="AF29" s="175" t="s">
        <v>964</v>
      </c>
      <c r="AG29" s="176" t="s">
        <v>1009</v>
      </c>
      <c r="AH29" s="63"/>
      <c r="AI29" s="175" t="s">
        <v>1038</v>
      </c>
      <c r="AJ29" s="175" t="s">
        <v>470</v>
      </c>
      <c r="AK29" s="175" t="s">
        <v>553</v>
      </c>
      <c r="AL29" s="175" t="s">
        <v>673</v>
      </c>
      <c r="AM29" s="176" t="s">
        <v>674</v>
      </c>
      <c r="AN29" s="179"/>
      <c r="AO29" s="175" t="s">
        <v>242</v>
      </c>
      <c r="AP29" s="175" t="s">
        <v>304</v>
      </c>
      <c r="AQ29" s="175" t="s">
        <v>309</v>
      </c>
      <c r="AR29" s="175" t="s">
        <v>379</v>
      </c>
      <c r="AS29" s="176" t="s">
        <v>380</v>
      </c>
    </row>
    <row r="30" spans="1:45" ht="12.6" customHeight="1">
      <c r="A30" s="177" t="s">
        <v>22</v>
      </c>
      <c r="B30" s="176" t="s">
        <v>2203</v>
      </c>
      <c r="C30" s="176" t="s">
        <v>2250</v>
      </c>
      <c r="D30" s="63"/>
      <c r="E30" s="176" t="s">
        <v>1940</v>
      </c>
      <c r="F30" s="176" t="s">
        <v>2000</v>
      </c>
      <c r="G30" s="176" t="s">
        <v>2048</v>
      </c>
      <c r="H30" s="176" t="s">
        <v>2130</v>
      </c>
      <c r="I30" s="176" t="s">
        <v>2135</v>
      </c>
      <c r="J30" s="63"/>
      <c r="K30" s="176" t="s">
        <v>1608</v>
      </c>
      <c r="L30" s="176" t="s">
        <v>1696</v>
      </c>
      <c r="M30" s="176" t="s">
        <v>1746</v>
      </c>
      <c r="N30" s="176" t="s">
        <v>1856</v>
      </c>
      <c r="O30" s="176" t="s">
        <v>1861</v>
      </c>
      <c r="P30" s="63"/>
      <c r="Q30" s="176" t="s">
        <v>1331</v>
      </c>
      <c r="R30" s="176" t="s">
        <v>1385</v>
      </c>
      <c r="S30" s="176" t="s">
        <v>1435</v>
      </c>
      <c r="T30" s="176" t="s">
        <v>1574</v>
      </c>
      <c r="U30" s="176" t="s">
        <v>1584</v>
      </c>
      <c r="V30" s="63"/>
      <c r="W30" s="176" t="s">
        <v>1072</v>
      </c>
      <c r="X30" s="176" t="s">
        <v>1121</v>
      </c>
      <c r="Y30" s="176" t="s">
        <v>1186</v>
      </c>
      <c r="Z30" s="176" t="s">
        <v>1209</v>
      </c>
      <c r="AA30" s="176" t="s">
        <v>1261</v>
      </c>
      <c r="AB30" s="63"/>
      <c r="AC30" s="176" t="s">
        <v>675</v>
      </c>
      <c r="AD30" s="176" t="s">
        <v>813</v>
      </c>
      <c r="AE30" s="176" t="s">
        <v>857</v>
      </c>
      <c r="AF30" s="176" t="s">
        <v>965</v>
      </c>
      <c r="AG30" s="176" t="s">
        <v>1010</v>
      </c>
      <c r="AH30" s="63"/>
      <c r="AI30" s="176" t="s">
        <v>1042</v>
      </c>
      <c r="AJ30" s="176" t="s">
        <v>471</v>
      </c>
      <c r="AK30" s="176" t="s">
        <v>554</v>
      </c>
      <c r="AL30" s="176" t="s">
        <v>676</v>
      </c>
      <c r="AM30" s="176" t="s">
        <v>677</v>
      </c>
      <c r="AN30" s="174"/>
      <c r="AO30" s="176" t="s">
        <v>237</v>
      </c>
      <c r="AP30" s="176" t="s">
        <v>300</v>
      </c>
      <c r="AQ30" s="176" t="s">
        <v>306</v>
      </c>
      <c r="AR30" s="176" t="s">
        <v>381</v>
      </c>
      <c r="AS30" s="176" t="s">
        <v>382</v>
      </c>
    </row>
    <row r="32" spans="1:45" ht="12.6" customHeight="1">
      <c r="A32" s="28" t="s">
        <v>1644</v>
      </c>
    </row>
    <row r="34" spans="1:45" ht="12.6" customHeight="1">
      <c r="A34" s="140"/>
      <c r="B34" s="80" t="s">
        <v>2184</v>
      </c>
      <c r="C34" s="80" t="s">
        <v>2233</v>
      </c>
      <c r="D34" s="63"/>
      <c r="E34" s="80" t="s">
        <v>1914</v>
      </c>
      <c r="F34" s="80" t="s">
        <v>1969</v>
      </c>
      <c r="G34" s="80" t="s">
        <v>2020</v>
      </c>
      <c r="H34" s="80" t="s">
        <v>2069</v>
      </c>
      <c r="I34" s="80" t="s">
        <v>54</v>
      </c>
      <c r="J34" s="63"/>
      <c r="K34" s="80" t="s">
        <v>1589</v>
      </c>
      <c r="L34" s="80" t="s">
        <v>1662</v>
      </c>
      <c r="M34" s="80" t="s">
        <v>1728</v>
      </c>
      <c r="N34" s="80" t="s">
        <v>1785</v>
      </c>
      <c r="O34" s="80" t="s">
        <v>54</v>
      </c>
      <c r="P34" s="63"/>
      <c r="Q34" s="80" t="s">
        <v>1310</v>
      </c>
      <c r="R34" s="80" t="s">
        <v>1366</v>
      </c>
      <c r="S34" s="80" t="s">
        <v>1404</v>
      </c>
      <c r="T34" s="80" t="s">
        <v>1467</v>
      </c>
      <c r="U34" s="80" t="s">
        <v>54</v>
      </c>
      <c r="V34" s="63"/>
      <c r="W34" s="80" t="s">
        <v>1048</v>
      </c>
      <c r="X34" s="80" t="s">
        <v>1094</v>
      </c>
      <c r="Y34" s="80" t="s">
        <v>1142</v>
      </c>
      <c r="Z34" s="80" t="s">
        <v>1194</v>
      </c>
      <c r="AA34" s="80" t="s">
        <v>54</v>
      </c>
      <c r="AB34" s="63"/>
      <c r="AC34" s="80" t="s">
        <v>565</v>
      </c>
      <c r="AD34" s="80" t="s">
        <v>788</v>
      </c>
      <c r="AE34" s="80" t="s">
        <v>845</v>
      </c>
      <c r="AF34" s="80" t="s">
        <v>900</v>
      </c>
      <c r="AG34" s="173" t="s">
        <v>54</v>
      </c>
      <c r="AH34" s="63"/>
      <c r="AI34" s="80" t="s">
        <v>404</v>
      </c>
      <c r="AJ34" s="80" t="s">
        <v>405</v>
      </c>
      <c r="AK34" s="80" t="s">
        <v>406</v>
      </c>
      <c r="AL34" s="80" t="s">
        <v>407</v>
      </c>
      <c r="AM34" s="173" t="s">
        <v>54</v>
      </c>
      <c r="AN34" s="179"/>
      <c r="AO34" s="80" t="s">
        <v>232</v>
      </c>
      <c r="AP34" s="80" t="s">
        <v>233</v>
      </c>
      <c r="AQ34" s="80" t="s">
        <v>234</v>
      </c>
      <c r="AR34" s="80" t="s">
        <v>235</v>
      </c>
      <c r="AS34" s="173" t="s">
        <v>54</v>
      </c>
    </row>
    <row r="35" spans="1:45" ht="12.6" customHeight="1">
      <c r="A35" s="81" t="s">
        <v>24</v>
      </c>
      <c r="B35" s="175" t="s">
        <v>78</v>
      </c>
      <c r="C35" s="175" t="s">
        <v>308</v>
      </c>
      <c r="D35" s="63"/>
      <c r="E35" s="175" t="s">
        <v>1941</v>
      </c>
      <c r="F35" s="175" t="s">
        <v>47</v>
      </c>
      <c r="G35" s="175" t="s">
        <v>243</v>
      </c>
      <c r="H35" s="175" t="s">
        <v>63</v>
      </c>
      <c r="I35" s="175" t="s">
        <v>2136</v>
      </c>
      <c r="J35" s="63"/>
      <c r="K35" s="175" t="s">
        <v>132</v>
      </c>
      <c r="L35" s="175" t="s">
        <v>87</v>
      </c>
      <c r="M35" s="175" t="s">
        <v>78</v>
      </c>
      <c r="N35" s="175" t="s">
        <v>80</v>
      </c>
      <c r="O35" s="175" t="s">
        <v>80</v>
      </c>
      <c r="P35" s="63"/>
      <c r="Q35" s="175" t="s">
        <v>69</v>
      </c>
      <c r="R35" s="175" t="s">
        <v>218</v>
      </c>
      <c r="S35" s="175" t="s">
        <v>78</v>
      </c>
      <c r="T35" s="175" t="s">
        <v>65</v>
      </c>
      <c r="U35" s="175" t="s">
        <v>195</v>
      </c>
      <c r="V35" s="63"/>
      <c r="W35" s="175" t="s">
        <v>47</v>
      </c>
      <c r="X35" s="175" t="s">
        <v>82</v>
      </c>
      <c r="Y35" s="175" t="s">
        <v>78</v>
      </c>
      <c r="Z35" s="175" t="s">
        <v>63</v>
      </c>
      <c r="AA35" s="175" t="s">
        <v>495</v>
      </c>
      <c r="AB35" s="63"/>
      <c r="AC35" s="175" t="s">
        <v>132</v>
      </c>
      <c r="AD35" s="175" t="s">
        <v>69</v>
      </c>
      <c r="AE35" s="175" t="s">
        <v>46</v>
      </c>
      <c r="AF35" s="175" t="s">
        <v>46</v>
      </c>
      <c r="AG35" s="176" t="s">
        <v>113</v>
      </c>
      <c r="AH35" s="63"/>
      <c r="AI35" s="180" t="s">
        <v>46</v>
      </c>
      <c r="AJ35" s="175" t="s">
        <v>69</v>
      </c>
      <c r="AK35" s="175" t="s">
        <v>63</v>
      </c>
      <c r="AL35" s="175" t="s">
        <v>65</v>
      </c>
      <c r="AM35" s="176" t="s">
        <v>161</v>
      </c>
      <c r="AN35" s="179"/>
      <c r="AO35" s="180" t="s">
        <v>69</v>
      </c>
      <c r="AP35" s="175" t="s">
        <v>80</v>
      </c>
      <c r="AQ35" s="175" t="s">
        <v>69</v>
      </c>
      <c r="AR35" s="175" t="s">
        <v>69</v>
      </c>
      <c r="AS35" s="176" t="s">
        <v>308</v>
      </c>
    </row>
    <row r="36" spans="1:45" ht="12.6" customHeight="1">
      <c r="A36" s="81" t="s">
        <v>39</v>
      </c>
      <c r="B36" s="175" t="s">
        <v>1084</v>
      </c>
      <c r="C36" s="175" t="s">
        <v>1942</v>
      </c>
      <c r="D36" s="63"/>
      <c r="E36" s="175" t="s">
        <v>1922</v>
      </c>
      <c r="F36" s="175" t="s">
        <v>87</v>
      </c>
      <c r="G36" s="175" t="s">
        <v>217</v>
      </c>
      <c r="H36" s="175" t="s">
        <v>2090</v>
      </c>
      <c r="I36" s="175" t="s">
        <v>2093</v>
      </c>
      <c r="J36" s="63"/>
      <c r="K36" s="175" t="s">
        <v>1611</v>
      </c>
      <c r="L36" s="175" t="s">
        <v>79</v>
      </c>
      <c r="M36" s="175" t="s">
        <v>307</v>
      </c>
      <c r="N36" s="175" t="s">
        <v>1862</v>
      </c>
      <c r="O36" s="175" t="s">
        <v>1863</v>
      </c>
      <c r="P36" s="63"/>
      <c r="Q36" s="175" t="s">
        <v>161</v>
      </c>
      <c r="R36" s="175" t="s">
        <v>57</v>
      </c>
      <c r="S36" s="175" t="s">
        <v>97</v>
      </c>
      <c r="T36" s="175" t="s">
        <v>919</v>
      </c>
      <c r="U36" s="175" t="s">
        <v>653</v>
      </c>
      <c r="V36" s="63"/>
      <c r="W36" s="175" t="s">
        <v>249</v>
      </c>
      <c r="X36" s="175" t="s">
        <v>69</v>
      </c>
      <c r="Y36" s="175" t="s">
        <v>161</v>
      </c>
      <c r="Z36" s="175" t="s">
        <v>47</v>
      </c>
      <c r="AA36" s="175" t="s">
        <v>746</v>
      </c>
      <c r="AB36" s="63"/>
      <c r="AC36" s="175" t="s">
        <v>310</v>
      </c>
      <c r="AD36" s="175" t="s">
        <v>797</v>
      </c>
      <c r="AE36" s="175" t="s">
        <v>868</v>
      </c>
      <c r="AF36" s="175" t="s">
        <v>966</v>
      </c>
      <c r="AG36" s="176" t="s">
        <v>967</v>
      </c>
      <c r="AH36" s="63"/>
      <c r="AI36" s="175" t="s">
        <v>143</v>
      </c>
      <c r="AJ36" s="175" t="s">
        <v>62</v>
      </c>
      <c r="AK36" s="175" t="s">
        <v>515</v>
      </c>
      <c r="AL36" s="175" t="s">
        <v>640</v>
      </c>
      <c r="AM36" s="176" t="s">
        <v>339</v>
      </c>
      <c r="AN36" s="179"/>
      <c r="AO36" s="175" t="s">
        <v>186</v>
      </c>
      <c r="AP36" s="175" t="s">
        <v>281</v>
      </c>
      <c r="AQ36" s="175" t="s">
        <v>316</v>
      </c>
      <c r="AR36" s="175" t="s">
        <v>201</v>
      </c>
      <c r="AS36" s="176" t="s">
        <v>390</v>
      </c>
    </row>
    <row r="37" spans="1:45" ht="12.6" customHeight="1">
      <c r="A37" s="81" t="s">
        <v>8</v>
      </c>
      <c r="B37" s="175" t="s">
        <v>52</v>
      </c>
      <c r="C37" s="175" t="s">
        <v>409</v>
      </c>
      <c r="D37" s="63"/>
      <c r="E37" s="175" t="s">
        <v>47</v>
      </c>
      <c r="F37" s="175" t="s">
        <v>2001</v>
      </c>
      <c r="G37" s="175" t="s">
        <v>2049</v>
      </c>
      <c r="H37" s="175" t="s">
        <v>2035</v>
      </c>
      <c r="I37" s="175" t="s">
        <v>2137</v>
      </c>
      <c r="J37" s="63"/>
      <c r="K37" s="175" t="s">
        <v>1612</v>
      </c>
      <c r="L37" s="175" t="s">
        <v>1440</v>
      </c>
      <c r="M37" s="175" t="s">
        <v>1747</v>
      </c>
      <c r="N37" s="175" t="s">
        <v>1683</v>
      </c>
      <c r="O37" s="175" t="s">
        <v>1864</v>
      </c>
      <c r="P37" s="63"/>
      <c r="Q37" s="175" t="s">
        <v>249</v>
      </c>
      <c r="R37" s="175" t="s">
        <v>52</v>
      </c>
      <c r="S37" s="175" t="s">
        <v>1436</v>
      </c>
      <c r="T37" s="175" t="s">
        <v>1359</v>
      </c>
      <c r="U37" s="175" t="s">
        <v>155</v>
      </c>
      <c r="V37" s="63"/>
      <c r="W37" s="175" t="s">
        <v>1073</v>
      </c>
      <c r="X37" s="175" t="s">
        <v>46</v>
      </c>
      <c r="Y37" s="175" t="s">
        <v>164</v>
      </c>
      <c r="Z37" s="175" t="s">
        <v>69</v>
      </c>
      <c r="AA37" s="175" t="s">
        <v>1211</v>
      </c>
      <c r="AB37" s="63"/>
      <c r="AC37" s="175" t="s">
        <v>641</v>
      </c>
      <c r="AD37" s="175" t="s">
        <v>814</v>
      </c>
      <c r="AE37" s="175" t="s">
        <v>869</v>
      </c>
      <c r="AF37" s="175" t="s">
        <v>968</v>
      </c>
      <c r="AG37" s="176" t="s">
        <v>969</v>
      </c>
      <c r="AH37" s="63"/>
      <c r="AI37" s="180" t="s">
        <v>46</v>
      </c>
      <c r="AJ37" s="175" t="s">
        <v>53</v>
      </c>
      <c r="AK37" s="175" t="s">
        <v>67</v>
      </c>
      <c r="AL37" s="175" t="s">
        <v>642</v>
      </c>
      <c r="AM37" s="176" t="s">
        <v>643</v>
      </c>
      <c r="AN37" s="179"/>
      <c r="AO37" s="180" t="s">
        <v>53</v>
      </c>
      <c r="AP37" s="175" t="s">
        <v>282</v>
      </c>
      <c r="AQ37" s="175" t="s">
        <v>317</v>
      </c>
      <c r="AR37" s="175" t="s">
        <v>391</v>
      </c>
      <c r="AS37" s="176" t="s">
        <v>392</v>
      </c>
    </row>
    <row r="38" spans="1:45" ht="12.6" customHeight="1">
      <c r="A38" s="81" t="s">
        <v>35</v>
      </c>
      <c r="B38" s="175" t="s">
        <v>46</v>
      </c>
      <c r="C38" s="175" t="s">
        <v>46</v>
      </c>
      <c r="D38" s="63"/>
      <c r="E38" s="175" t="s">
        <v>46</v>
      </c>
      <c r="F38" s="175" t="s">
        <v>46</v>
      </c>
      <c r="G38" s="175" t="s">
        <v>46</v>
      </c>
      <c r="H38" s="175" t="s">
        <v>46</v>
      </c>
      <c r="I38" s="175" t="s">
        <v>46</v>
      </c>
      <c r="J38" s="63"/>
      <c r="K38" s="175" t="s">
        <v>46</v>
      </c>
      <c r="L38" s="175" t="s">
        <v>46</v>
      </c>
      <c r="M38" s="175" t="s">
        <v>46</v>
      </c>
      <c r="N38" s="175" t="s">
        <v>46</v>
      </c>
      <c r="O38" s="175" t="s">
        <v>46</v>
      </c>
      <c r="P38" s="63"/>
      <c r="Q38" s="175" t="s">
        <v>46</v>
      </c>
      <c r="R38" s="175" t="s">
        <v>46</v>
      </c>
      <c r="S38" s="175" t="s">
        <v>46</v>
      </c>
      <c r="T38" s="175" t="s">
        <v>46</v>
      </c>
      <c r="U38" s="175" t="s">
        <v>46</v>
      </c>
      <c r="V38" s="63"/>
      <c r="W38" s="175" t="s">
        <v>46</v>
      </c>
      <c r="X38" s="175" t="s">
        <v>46</v>
      </c>
      <c r="Y38" s="175" t="s">
        <v>46</v>
      </c>
      <c r="Z38" s="175" t="s">
        <v>46</v>
      </c>
      <c r="AA38" s="175" t="s">
        <v>46</v>
      </c>
      <c r="AB38" s="63"/>
      <c r="AC38" s="175" t="s">
        <v>46</v>
      </c>
      <c r="AD38" s="175" t="s">
        <v>46</v>
      </c>
      <c r="AE38" s="175" t="s">
        <v>46</v>
      </c>
      <c r="AF38" s="175" t="s">
        <v>63</v>
      </c>
      <c r="AG38" s="176" t="s">
        <v>63</v>
      </c>
      <c r="AH38" s="63"/>
      <c r="AI38" s="180" t="s">
        <v>46</v>
      </c>
      <c r="AJ38" s="175" t="s">
        <v>47</v>
      </c>
      <c r="AK38" s="175" t="s">
        <v>46</v>
      </c>
      <c r="AL38" s="175" t="s">
        <v>46</v>
      </c>
      <c r="AM38" s="176" t="s">
        <v>47</v>
      </c>
      <c r="AN38" s="179"/>
      <c r="AO38" s="180" t="s">
        <v>46</v>
      </c>
      <c r="AP38" s="175" t="s">
        <v>46</v>
      </c>
      <c r="AQ38" s="175" t="s">
        <v>46</v>
      </c>
      <c r="AR38" s="175" t="s">
        <v>46</v>
      </c>
      <c r="AS38" s="176" t="s">
        <v>46</v>
      </c>
    </row>
    <row r="39" spans="1:45" ht="12.6" customHeight="1">
      <c r="A39" s="81" t="s">
        <v>40</v>
      </c>
      <c r="B39" s="175" t="s">
        <v>274</v>
      </c>
      <c r="C39" s="175" t="s">
        <v>995</v>
      </c>
      <c r="D39" s="63"/>
      <c r="E39" s="175" t="s">
        <v>1942</v>
      </c>
      <c r="F39" s="175" t="s">
        <v>1092</v>
      </c>
      <c r="G39" s="175" t="s">
        <v>173</v>
      </c>
      <c r="H39" s="175" t="s">
        <v>274</v>
      </c>
      <c r="I39" s="175" t="s">
        <v>2138</v>
      </c>
      <c r="J39" s="63"/>
      <c r="K39" s="175" t="s">
        <v>1358</v>
      </c>
      <c r="L39" s="175" t="s">
        <v>173</v>
      </c>
      <c r="M39" s="175" t="s">
        <v>63</v>
      </c>
      <c r="N39" s="175" t="s">
        <v>63</v>
      </c>
      <c r="O39" s="175" t="s">
        <v>277</v>
      </c>
      <c r="P39" s="63"/>
      <c r="Q39" s="175" t="s">
        <v>1336</v>
      </c>
      <c r="R39" s="175" t="s">
        <v>1387</v>
      </c>
      <c r="S39" s="175" t="s">
        <v>84</v>
      </c>
      <c r="T39" s="175" t="s">
        <v>1223</v>
      </c>
      <c r="U39" s="175" t="s">
        <v>1477</v>
      </c>
      <c r="V39" s="63"/>
      <c r="W39" s="175" t="s">
        <v>1074</v>
      </c>
      <c r="X39" s="175" t="s">
        <v>1122</v>
      </c>
      <c r="Y39" s="175" t="s">
        <v>65</v>
      </c>
      <c r="Z39" s="175" t="s">
        <v>46</v>
      </c>
      <c r="AA39" s="175" t="s">
        <v>1212</v>
      </c>
      <c r="AB39" s="63"/>
      <c r="AC39" s="175" t="s">
        <v>95</v>
      </c>
      <c r="AD39" s="175" t="s">
        <v>815</v>
      </c>
      <c r="AE39" s="175" t="s">
        <v>391</v>
      </c>
      <c r="AF39" s="175" t="s">
        <v>217</v>
      </c>
      <c r="AG39" s="176" t="s">
        <v>970</v>
      </c>
      <c r="AH39" s="63"/>
      <c r="AI39" s="180" t="s">
        <v>46</v>
      </c>
      <c r="AJ39" s="175" t="s">
        <v>450</v>
      </c>
      <c r="AK39" s="175" t="s">
        <v>217</v>
      </c>
      <c r="AL39" s="175" t="s">
        <v>644</v>
      </c>
      <c r="AM39" s="176" t="s">
        <v>645</v>
      </c>
      <c r="AN39" s="179"/>
      <c r="AO39" s="180" t="s">
        <v>252</v>
      </c>
      <c r="AP39" s="175" t="s">
        <v>283</v>
      </c>
      <c r="AQ39" s="175" t="s">
        <v>318</v>
      </c>
      <c r="AR39" s="175" t="s">
        <v>69</v>
      </c>
      <c r="AS39" s="176" t="s">
        <v>393</v>
      </c>
    </row>
    <row r="40" spans="1:45" ht="12.6" customHeight="1">
      <c r="A40" s="81" t="s">
        <v>48</v>
      </c>
      <c r="B40" s="175" t="s">
        <v>83</v>
      </c>
      <c r="C40" s="175" t="s">
        <v>46</v>
      </c>
      <c r="D40" s="63"/>
      <c r="E40" s="175" t="s">
        <v>966</v>
      </c>
      <c r="F40" s="175" t="s">
        <v>53</v>
      </c>
      <c r="G40" s="175" t="s">
        <v>2050</v>
      </c>
      <c r="H40" s="175" t="s">
        <v>864</v>
      </c>
      <c r="I40" s="175" t="s">
        <v>2139</v>
      </c>
      <c r="J40" s="63"/>
      <c r="K40" s="175" t="s">
        <v>1419</v>
      </c>
      <c r="L40" s="175" t="s">
        <v>1681</v>
      </c>
      <c r="M40" s="175" t="s">
        <v>815</v>
      </c>
      <c r="N40" s="175" t="s">
        <v>815</v>
      </c>
      <c r="O40" s="175" t="s">
        <v>1865</v>
      </c>
      <c r="P40" s="63"/>
      <c r="Q40" s="175" t="s">
        <v>97</v>
      </c>
      <c r="R40" s="175" t="s">
        <v>82</v>
      </c>
      <c r="S40" s="175" t="s">
        <v>472</v>
      </c>
      <c r="T40" s="175" t="s">
        <v>225</v>
      </c>
      <c r="U40" s="175" t="s">
        <v>1478</v>
      </c>
      <c r="V40" s="63"/>
      <c r="W40" s="175" t="s">
        <v>63</v>
      </c>
      <c r="X40" s="175" t="s">
        <v>46</v>
      </c>
      <c r="Y40" s="175" t="s">
        <v>113</v>
      </c>
      <c r="Z40" s="175" t="s">
        <v>51</v>
      </c>
      <c r="AA40" s="175" t="s">
        <v>308</v>
      </c>
      <c r="AB40" s="63"/>
      <c r="AC40" s="175" t="s">
        <v>84</v>
      </c>
      <c r="AD40" s="175" t="s">
        <v>52</v>
      </c>
      <c r="AE40" s="175" t="s">
        <v>85</v>
      </c>
      <c r="AF40" s="175" t="s">
        <v>62</v>
      </c>
      <c r="AG40" s="176" t="s">
        <v>971</v>
      </c>
      <c r="AH40" s="63"/>
      <c r="AI40" s="180" t="s">
        <v>51</v>
      </c>
      <c r="AJ40" s="175" t="s">
        <v>82</v>
      </c>
      <c r="AK40" s="175" t="s">
        <v>540</v>
      </c>
      <c r="AL40" s="175" t="s">
        <v>646</v>
      </c>
      <c r="AM40" s="176" t="s">
        <v>647</v>
      </c>
      <c r="AN40" s="174"/>
      <c r="AO40" s="180" t="s">
        <v>253</v>
      </c>
      <c r="AP40" s="175" t="s">
        <v>131</v>
      </c>
      <c r="AQ40" s="175" t="s">
        <v>64</v>
      </c>
      <c r="AR40" s="175" t="s">
        <v>84</v>
      </c>
      <c r="AS40" s="176" t="s">
        <v>394</v>
      </c>
    </row>
    <row r="41" spans="1:45" ht="12.6" customHeight="1">
      <c r="A41" s="177" t="s">
        <v>22</v>
      </c>
      <c r="B41" s="176" t="s">
        <v>2213</v>
      </c>
      <c r="C41" s="176" t="s">
        <v>2251</v>
      </c>
      <c r="D41" s="63"/>
      <c r="E41" s="176" t="s">
        <v>1924</v>
      </c>
      <c r="F41" s="176" t="s">
        <v>1979</v>
      </c>
      <c r="G41" s="176" t="s">
        <v>2029</v>
      </c>
      <c r="H41" s="176" t="s">
        <v>2091</v>
      </c>
      <c r="I41" s="176" t="s">
        <v>2140</v>
      </c>
      <c r="J41" s="63"/>
      <c r="K41" s="176" t="s">
        <v>1609</v>
      </c>
      <c r="L41" s="176" t="s">
        <v>1670</v>
      </c>
      <c r="M41" s="176" t="s">
        <v>1748</v>
      </c>
      <c r="N41" s="176" t="s">
        <v>1748</v>
      </c>
      <c r="O41" s="176" t="s">
        <v>1812</v>
      </c>
      <c r="P41" s="63"/>
      <c r="Q41" s="176" t="s">
        <v>1334</v>
      </c>
      <c r="R41" s="176" t="s">
        <v>330</v>
      </c>
      <c r="S41" s="176" t="s">
        <v>1413</v>
      </c>
      <c r="T41" s="176" t="s">
        <v>1473</v>
      </c>
      <c r="U41" s="176" t="s">
        <v>1474</v>
      </c>
      <c r="V41" s="63"/>
      <c r="W41" s="176" t="s">
        <v>1057</v>
      </c>
      <c r="X41" s="176" t="s">
        <v>475</v>
      </c>
      <c r="Y41" s="176" t="s">
        <v>1151</v>
      </c>
      <c r="Z41" s="176" t="s">
        <v>80</v>
      </c>
      <c r="AA41" s="176" t="s">
        <v>1213</v>
      </c>
      <c r="AB41" s="63"/>
      <c r="AC41" s="176" t="s">
        <v>648</v>
      </c>
      <c r="AD41" s="176" t="s">
        <v>798</v>
      </c>
      <c r="AE41" s="176" t="s">
        <v>866</v>
      </c>
      <c r="AF41" s="176" t="s">
        <v>910</v>
      </c>
      <c r="AG41" s="176" t="s">
        <v>943</v>
      </c>
      <c r="AH41" s="63"/>
      <c r="AI41" s="176" t="s">
        <v>409</v>
      </c>
      <c r="AJ41" s="176" t="s">
        <v>448</v>
      </c>
      <c r="AK41" s="176" t="s">
        <v>538</v>
      </c>
      <c r="AL41" s="176" t="s">
        <v>620</v>
      </c>
      <c r="AM41" s="176" t="s">
        <v>619</v>
      </c>
      <c r="AN41" s="181"/>
      <c r="AO41" s="176" t="s">
        <v>311</v>
      </c>
      <c r="AP41" s="176" t="s">
        <v>279</v>
      </c>
      <c r="AQ41" s="176" t="s">
        <v>312</v>
      </c>
      <c r="AR41" s="176" t="s">
        <v>386</v>
      </c>
      <c r="AS41" s="176" t="s">
        <v>387</v>
      </c>
    </row>
    <row r="42" spans="1:45" ht="12.6" customHeight="1">
      <c r="AD42" s="8"/>
      <c r="AE42" s="8"/>
    </row>
    <row r="43" spans="1:45" ht="12.6" customHeight="1">
      <c r="A43" s="28" t="s">
        <v>1645</v>
      </c>
      <c r="B43" s="8"/>
      <c r="C43" s="8"/>
      <c r="D43" s="8"/>
      <c r="E43" s="8"/>
      <c r="F43" s="8"/>
      <c r="H43" s="8"/>
      <c r="J43" s="8"/>
      <c r="K43" s="8"/>
      <c r="L43" s="8"/>
      <c r="M43" s="8"/>
      <c r="N43" s="8"/>
      <c r="P43" s="8"/>
      <c r="Q43" s="8"/>
      <c r="R43" s="8"/>
      <c r="S43" s="8"/>
      <c r="T43" s="8"/>
      <c r="V43" s="8"/>
      <c r="W43" s="8"/>
      <c r="X43" s="8"/>
      <c r="Y43" s="8"/>
      <c r="Z43" s="8"/>
      <c r="AB43" s="8"/>
      <c r="AC43" s="8"/>
      <c r="AH43" s="8"/>
      <c r="AN43" s="8"/>
    </row>
    <row r="45" spans="1:45" ht="12.6" customHeight="1">
      <c r="A45" s="140"/>
      <c r="B45" s="80" t="s">
        <v>2184</v>
      </c>
      <c r="C45" s="80" t="s">
        <v>2233</v>
      </c>
      <c r="D45" s="63"/>
      <c r="E45" s="80" t="s">
        <v>1914</v>
      </c>
      <c r="F45" s="80" t="s">
        <v>1969</v>
      </c>
      <c r="G45" s="80" t="s">
        <v>2020</v>
      </c>
      <c r="H45" s="80" t="s">
        <v>2069</v>
      </c>
      <c r="I45" s="80" t="s">
        <v>54</v>
      </c>
      <c r="J45" s="63"/>
      <c r="K45" s="80" t="s">
        <v>1589</v>
      </c>
      <c r="L45" s="80" t="s">
        <v>1662</v>
      </c>
      <c r="M45" s="80" t="s">
        <v>1728</v>
      </c>
      <c r="N45" s="80" t="s">
        <v>1785</v>
      </c>
      <c r="O45" s="80" t="s">
        <v>54</v>
      </c>
      <c r="P45" s="63"/>
      <c r="Q45" s="80" t="s">
        <v>1310</v>
      </c>
      <c r="R45" s="80" t="s">
        <v>1366</v>
      </c>
      <c r="S45" s="80" t="s">
        <v>1404</v>
      </c>
      <c r="T45" s="80" t="s">
        <v>1467</v>
      </c>
      <c r="U45" s="80" t="s">
        <v>54</v>
      </c>
      <c r="V45" s="63"/>
      <c r="W45" s="80" t="s">
        <v>1048</v>
      </c>
      <c r="X45" s="80" t="s">
        <v>1094</v>
      </c>
      <c r="Y45" s="80" t="s">
        <v>1142</v>
      </c>
      <c r="Z45" s="80" t="s">
        <v>1194</v>
      </c>
      <c r="AA45" s="80" t="s">
        <v>54</v>
      </c>
      <c r="AB45" s="63"/>
      <c r="AC45" s="80" t="s">
        <v>565</v>
      </c>
      <c r="AD45" s="80" t="s">
        <v>788</v>
      </c>
      <c r="AE45" s="80" t="s">
        <v>845</v>
      </c>
      <c r="AF45" s="80" t="s">
        <v>900</v>
      </c>
      <c r="AG45" s="173" t="s">
        <v>54</v>
      </c>
      <c r="AH45" s="63"/>
      <c r="AI45" s="80" t="s">
        <v>404</v>
      </c>
      <c r="AJ45" s="80" t="s">
        <v>405</v>
      </c>
      <c r="AK45" s="80" t="s">
        <v>406</v>
      </c>
      <c r="AL45" s="80" t="s">
        <v>407</v>
      </c>
      <c r="AM45" s="173" t="s">
        <v>54</v>
      </c>
      <c r="AN45" s="179"/>
      <c r="AO45" s="80" t="s">
        <v>232</v>
      </c>
      <c r="AP45" s="80" t="s">
        <v>233</v>
      </c>
      <c r="AQ45" s="80" t="s">
        <v>234</v>
      </c>
      <c r="AR45" s="80" t="s">
        <v>235</v>
      </c>
      <c r="AS45" s="173" t="s">
        <v>54</v>
      </c>
    </row>
    <row r="46" spans="1:45" ht="12.6" customHeight="1">
      <c r="A46" s="81" t="s">
        <v>24</v>
      </c>
      <c r="B46" s="175" t="s">
        <v>82</v>
      </c>
      <c r="C46" s="175" t="s">
        <v>2253</v>
      </c>
      <c r="D46" s="63"/>
      <c r="E46" s="175" t="s">
        <v>1168</v>
      </c>
      <c r="F46" s="175" t="s">
        <v>2002</v>
      </c>
      <c r="G46" s="175" t="s">
        <v>2051</v>
      </c>
      <c r="H46" s="175" t="s">
        <v>2141</v>
      </c>
      <c r="I46" s="175" t="s">
        <v>2145</v>
      </c>
      <c r="J46" s="63"/>
      <c r="K46" s="175" t="s">
        <v>971</v>
      </c>
      <c r="L46" s="175" t="s">
        <v>1682</v>
      </c>
      <c r="M46" s="175" t="s">
        <v>450</v>
      </c>
      <c r="N46" s="175" t="s">
        <v>1866</v>
      </c>
      <c r="O46" s="175" t="s">
        <v>1871</v>
      </c>
      <c r="P46" s="63"/>
      <c r="Q46" s="175" t="s">
        <v>1337</v>
      </c>
      <c r="R46" s="175" t="s">
        <v>1388</v>
      </c>
      <c r="S46" s="175" t="s">
        <v>1437</v>
      </c>
      <c r="T46" s="175" t="s">
        <v>1479</v>
      </c>
      <c r="U46" s="175" t="s">
        <v>1480</v>
      </c>
      <c r="V46" s="63"/>
      <c r="W46" s="175" t="s">
        <v>1075</v>
      </c>
      <c r="X46" s="175" t="s">
        <v>1123</v>
      </c>
      <c r="Y46" s="175" t="s">
        <v>507</v>
      </c>
      <c r="Z46" s="175" t="s">
        <v>1217</v>
      </c>
      <c r="AA46" s="175" t="s">
        <v>1218</v>
      </c>
      <c r="AB46" s="63"/>
      <c r="AC46" s="175" t="s">
        <v>678</v>
      </c>
      <c r="AD46" s="175" t="s">
        <v>131</v>
      </c>
      <c r="AE46" s="175" t="s">
        <v>870</v>
      </c>
      <c r="AF46" s="175" t="s">
        <v>972</v>
      </c>
      <c r="AG46" s="176" t="s">
        <v>973</v>
      </c>
      <c r="AH46" s="63"/>
      <c r="AI46" s="180" t="s">
        <v>411</v>
      </c>
      <c r="AJ46" s="175" t="s">
        <v>451</v>
      </c>
      <c r="AK46" s="175" t="s">
        <v>541</v>
      </c>
      <c r="AL46" s="175" t="s">
        <v>679</v>
      </c>
      <c r="AM46" s="176" t="s">
        <v>680</v>
      </c>
      <c r="AN46" s="179"/>
      <c r="AO46" s="180" t="s">
        <v>254</v>
      </c>
      <c r="AP46" s="175" t="s">
        <v>284</v>
      </c>
      <c r="AQ46" s="175" t="s">
        <v>319</v>
      </c>
      <c r="AR46" s="175" t="s">
        <v>395</v>
      </c>
      <c r="AS46" s="176" t="s">
        <v>396</v>
      </c>
    </row>
    <row r="47" spans="1:45" ht="12.6" customHeight="1">
      <c r="A47" s="81" t="s">
        <v>39</v>
      </c>
      <c r="B47" s="175" t="s">
        <v>1862</v>
      </c>
      <c r="C47" s="175" t="s">
        <v>2254</v>
      </c>
      <c r="D47" s="63"/>
      <c r="E47" s="175" t="s">
        <v>1943</v>
      </c>
      <c r="F47" s="175" t="s">
        <v>2003</v>
      </c>
      <c r="G47" s="175" t="s">
        <v>2052</v>
      </c>
      <c r="H47" s="175" t="s">
        <v>2142</v>
      </c>
      <c r="I47" s="175" t="s">
        <v>2146</v>
      </c>
      <c r="J47" s="63"/>
      <c r="K47" s="175" t="s">
        <v>96</v>
      </c>
      <c r="L47" s="175" t="s">
        <v>1683</v>
      </c>
      <c r="M47" s="175" t="s">
        <v>1749</v>
      </c>
      <c r="N47" s="175" t="s">
        <v>1867</v>
      </c>
      <c r="O47" s="175" t="s">
        <v>1872</v>
      </c>
      <c r="P47" s="63"/>
      <c r="Q47" s="175" t="s">
        <v>1338</v>
      </c>
      <c r="R47" s="175" t="s">
        <v>1389</v>
      </c>
      <c r="S47" s="175" t="s">
        <v>1438</v>
      </c>
      <c r="T47" s="175" t="s">
        <v>1481</v>
      </c>
      <c r="U47" s="175" t="s">
        <v>1482</v>
      </c>
      <c r="V47" s="63"/>
      <c r="W47" s="175" t="s">
        <v>53</v>
      </c>
      <c r="X47" s="175" t="s">
        <v>1124</v>
      </c>
      <c r="Y47" s="175" t="s">
        <v>1187</v>
      </c>
      <c r="Z47" s="175" t="s">
        <v>1219</v>
      </c>
      <c r="AA47" s="175" t="s">
        <v>1220</v>
      </c>
      <c r="AB47" s="63"/>
      <c r="AC47" s="175" t="s">
        <v>46</v>
      </c>
      <c r="AD47" s="175" t="s">
        <v>816</v>
      </c>
      <c r="AE47" s="175" t="s">
        <v>871</v>
      </c>
      <c r="AF47" s="175" t="s">
        <v>974</v>
      </c>
      <c r="AG47" s="176" t="s">
        <v>975</v>
      </c>
      <c r="AH47" s="63"/>
      <c r="AI47" s="175" t="s">
        <v>412</v>
      </c>
      <c r="AJ47" s="175" t="s">
        <v>83</v>
      </c>
      <c r="AK47" s="175" t="s">
        <v>542</v>
      </c>
      <c r="AL47" s="175" t="s">
        <v>681</v>
      </c>
      <c r="AM47" s="176" t="s">
        <v>682</v>
      </c>
      <c r="AN47" s="174"/>
      <c r="AO47" s="175" t="s">
        <v>255</v>
      </c>
      <c r="AP47" s="175" t="s">
        <v>285</v>
      </c>
      <c r="AQ47" s="175" t="s">
        <v>320</v>
      </c>
      <c r="AR47" s="175" t="s">
        <v>321</v>
      </c>
      <c r="AS47" s="176" t="s">
        <v>397</v>
      </c>
    </row>
    <row r="48" spans="1:45" ht="12.6" customHeight="1">
      <c r="A48" s="81" t="s">
        <v>8</v>
      </c>
      <c r="B48" s="175" t="s">
        <v>2215</v>
      </c>
      <c r="C48" s="175" t="s">
        <v>2255</v>
      </c>
      <c r="D48" s="63"/>
      <c r="E48" s="175" t="s">
        <v>1483</v>
      </c>
      <c r="F48" s="175" t="s">
        <v>1483</v>
      </c>
      <c r="G48" s="175" t="s">
        <v>2053</v>
      </c>
      <c r="H48" s="175" t="s">
        <v>2143</v>
      </c>
      <c r="I48" s="175" t="s">
        <v>2147</v>
      </c>
      <c r="J48" s="63"/>
      <c r="K48" s="175" t="s">
        <v>1483</v>
      </c>
      <c r="L48" s="175" t="s">
        <v>1684</v>
      </c>
      <c r="M48" s="175" t="s">
        <v>1750</v>
      </c>
      <c r="N48" s="175" t="s">
        <v>1868</v>
      </c>
      <c r="O48" s="175" t="s">
        <v>1873</v>
      </c>
      <c r="P48" s="63"/>
      <c r="Q48" s="175" t="s">
        <v>1339</v>
      </c>
      <c r="R48" s="175" t="s">
        <v>1390</v>
      </c>
      <c r="S48" s="175" t="s">
        <v>1439</v>
      </c>
      <c r="T48" s="175" t="s">
        <v>1483</v>
      </c>
      <c r="U48" s="175" t="s">
        <v>1484</v>
      </c>
      <c r="V48" s="63"/>
      <c r="W48" s="175" t="s">
        <v>1076</v>
      </c>
      <c r="X48" s="175" t="s">
        <v>147</v>
      </c>
      <c r="Y48" s="175" t="s">
        <v>1188</v>
      </c>
      <c r="Z48" s="175" t="s">
        <v>1221</v>
      </c>
      <c r="AA48" s="175" t="s">
        <v>1222</v>
      </c>
      <c r="AB48" s="63"/>
      <c r="AC48" s="175" t="s">
        <v>683</v>
      </c>
      <c r="AD48" s="175" t="s">
        <v>817</v>
      </c>
      <c r="AE48" s="175" t="s">
        <v>872</v>
      </c>
      <c r="AF48" s="175" t="s">
        <v>976</v>
      </c>
      <c r="AG48" s="176" t="s">
        <v>977</v>
      </c>
      <c r="AH48" s="63"/>
      <c r="AI48" s="180" t="s">
        <v>413</v>
      </c>
      <c r="AJ48" s="175" t="s">
        <v>452</v>
      </c>
      <c r="AK48" s="175" t="s">
        <v>543</v>
      </c>
      <c r="AL48" s="175" t="s">
        <v>684</v>
      </c>
      <c r="AM48" s="176" t="s">
        <v>685</v>
      </c>
      <c r="AN48" s="139"/>
      <c r="AO48" s="180" t="s">
        <v>256</v>
      </c>
      <c r="AP48" s="175" t="s">
        <v>286</v>
      </c>
      <c r="AQ48" s="175" t="s">
        <v>321</v>
      </c>
      <c r="AR48" s="175" t="s">
        <v>398</v>
      </c>
      <c r="AS48" s="176" t="s">
        <v>399</v>
      </c>
    </row>
    <row r="49" spans="1:45" ht="12.6" customHeight="1">
      <c r="A49" s="81" t="s">
        <v>35</v>
      </c>
      <c r="B49" s="175" t="s">
        <v>46</v>
      </c>
      <c r="C49" s="175" t="s">
        <v>46</v>
      </c>
      <c r="D49" s="63"/>
      <c r="E49" s="175" t="s">
        <v>46</v>
      </c>
      <c r="F49" s="175" t="s">
        <v>46</v>
      </c>
      <c r="G49" s="175" t="s">
        <v>46</v>
      </c>
      <c r="H49" s="175" t="s">
        <v>46</v>
      </c>
      <c r="I49" s="175" t="s">
        <v>46</v>
      </c>
      <c r="J49" s="63"/>
      <c r="K49" s="175" t="s">
        <v>46</v>
      </c>
      <c r="L49" s="175" t="s">
        <v>46</v>
      </c>
      <c r="M49" s="175" t="s">
        <v>46</v>
      </c>
      <c r="N49" s="175" t="s">
        <v>46</v>
      </c>
      <c r="O49" s="175" t="s">
        <v>46</v>
      </c>
      <c r="P49" s="63"/>
      <c r="Q49" s="175" t="s">
        <v>46</v>
      </c>
      <c r="R49" s="175" t="s">
        <v>46</v>
      </c>
      <c r="S49" s="175" t="s">
        <v>46</v>
      </c>
      <c r="T49" s="175" t="s">
        <v>46</v>
      </c>
      <c r="U49" s="175" t="s">
        <v>46</v>
      </c>
      <c r="V49" s="63"/>
      <c r="W49" s="175" t="s">
        <v>69</v>
      </c>
      <c r="X49" s="175" t="s">
        <v>46</v>
      </c>
      <c r="Y49" s="175" t="s">
        <v>46</v>
      </c>
      <c r="Z49" s="175" t="s">
        <v>46</v>
      </c>
      <c r="AA49" s="175" t="s">
        <v>69</v>
      </c>
      <c r="AB49" s="63"/>
      <c r="AC49" s="175" t="s">
        <v>46</v>
      </c>
      <c r="AD49" s="175" t="s">
        <v>46</v>
      </c>
      <c r="AE49" s="175" t="s">
        <v>46</v>
      </c>
      <c r="AF49" s="175" t="s">
        <v>46</v>
      </c>
      <c r="AG49" s="176" t="s">
        <v>46</v>
      </c>
      <c r="AH49" s="63"/>
      <c r="AI49" s="180" t="s">
        <v>46</v>
      </c>
      <c r="AJ49" s="175" t="s">
        <v>46</v>
      </c>
      <c r="AK49" s="175" t="s">
        <v>46</v>
      </c>
      <c r="AL49" s="175" t="s">
        <v>46</v>
      </c>
      <c r="AM49" s="176" t="s">
        <v>46</v>
      </c>
      <c r="AN49" s="174"/>
      <c r="AO49" s="180" t="s">
        <v>46</v>
      </c>
      <c r="AP49" s="175" t="s">
        <v>196</v>
      </c>
      <c r="AQ49" s="175" t="s">
        <v>46</v>
      </c>
      <c r="AR49" s="175" t="s">
        <v>46</v>
      </c>
      <c r="AS49" s="176" t="s">
        <v>196</v>
      </c>
    </row>
    <row r="50" spans="1:45" ht="12.6" customHeight="1">
      <c r="A50" s="81" t="s">
        <v>40</v>
      </c>
      <c r="B50" s="175" t="s">
        <v>1336</v>
      </c>
      <c r="C50" s="175" t="s">
        <v>2256</v>
      </c>
      <c r="D50" s="63"/>
      <c r="E50" s="175" t="s">
        <v>834</v>
      </c>
      <c r="F50" s="175" t="s">
        <v>2004</v>
      </c>
      <c r="G50" s="175" t="s">
        <v>601</v>
      </c>
      <c r="H50" s="175" t="s">
        <v>96</v>
      </c>
      <c r="I50" s="175" t="s">
        <v>2148</v>
      </c>
      <c r="J50" s="63"/>
      <c r="K50" s="175" t="s">
        <v>1613</v>
      </c>
      <c r="L50" s="175" t="s">
        <v>1685</v>
      </c>
      <c r="M50" s="175" t="s">
        <v>1555</v>
      </c>
      <c r="N50" s="175" t="s">
        <v>1869</v>
      </c>
      <c r="O50" s="175" t="s">
        <v>1874</v>
      </c>
      <c r="P50" s="63"/>
      <c r="Q50" s="175" t="s">
        <v>1340</v>
      </c>
      <c r="R50" s="175" t="s">
        <v>1391</v>
      </c>
      <c r="S50" s="175" t="s">
        <v>1440</v>
      </c>
      <c r="T50" s="175" t="s">
        <v>1485</v>
      </c>
      <c r="U50" s="175" t="s">
        <v>1486</v>
      </c>
      <c r="V50" s="63"/>
      <c r="W50" s="175" t="s">
        <v>1077</v>
      </c>
      <c r="X50" s="175" t="s">
        <v>1191</v>
      </c>
      <c r="Y50" s="175" t="s">
        <v>1189</v>
      </c>
      <c r="Z50" s="175" t="s">
        <v>1223</v>
      </c>
      <c r="AA50" s="175" t="s">
        <v>1224</v>
      </c>
      <c r="AB50" s="63"/>
      <c r="AC50" s="175" t="s">
        <v>629</v>
      </c>
      <c r="AD50" s="175" t="s">
        <v>818</v>
      </c>
      <c r="AE50" s="175" t="s">
        <v>873</v>
      </c>
      <c r="AF50" s="175" t="s">
        <v>978</v>
      </c>
      <c r="AG50" s="176" t="s">
        <v>979</v>
      </c>
      <c r="AH50" s="63"/>
      <c r="AI50" s="180" t="s">
        <v>414</v>
      </c>
      <c r="AJ50" s="175" t="s">
        <v>453</v>
      </c>
      <c r="AK50" s="175" t="s">
        <v>544</v>
      </c>
      <c r="AL50" s="175" t="s">
        <v>686</v>
      </c>
      <c r="AM50" s="176" t="s">
        <v>687</v>
      </c>
      <c r="AN50" s="139"/>
      <c r="AO50" s="180" t="s">
        <v>257</v>
      </c>
      <c r="AP50" s="175" t="s">
        <v>287</v>
      </c>
      <c r="AQ50" s="175" t="s">
        <v>322</v>
      </c>
      <c r="AR50" s="175" t="s">
        <v>400</v>
      </c>
      <c r="AS50" s="176" t="s">
        <v>401</v>
      </c>
    </row>
    <row r="51" spans="1:45" ht="12.6" customHeight="1">
      <c r="A51" s="81" t="s">
        <v>48</v>
      </c>
      <c r="B51" s="175" t="s">
        <v>2216</v>
      </c>
      <c r="C51" s="175" t="s">
        <v>2257</v>
      </c>
      <c r="D51" s="63"/>
      <c r="E51" s="175" t="s">
        <v>1944</v>
      </c>
      <c r="F51" s="175" t="s">
        <v>2005</v>
      </c>
      <c r="G51" s="175" t="s">
        <v>2054</v>
      </c>
      <c r="H51" s="175" t="s">
        <v>2144</v>
      </c>
      <c r="I51" s="175" t="s">
        <v>2181</v>
      </c>
      <c r="J51" s="63"/>
      <c r="K51" s="175" t="s">
        <v>1614</v>
      </c>
      <c r="L51" s="175" t="s">
        <v>1686</v>
      </c>
      <c r="M51" s="175" t="s">
        <v>1751</v>
      </c>
      <c r="N51" s="175" t="s">
        <v>1870</v>
      </c>
      <c r="O51" s="175" t="s">
        <v>1875</v>
      </c>
      <c r="P51" s="63"/>
      <c r="Q51" s="175" t="s">
        <v>1341</v>
      </c>
      <c r="R51" s="175" t="s">
        <v>1392</v>
      </c>
      <c r="S51" s="175" t="s">
        <v>1441</v>
      </c>
      <c r="T51" s="175" t="s">
        <v>1487</v>
      </c>
      <c r="U51" s="175" t="s">
        <v>1488</v>
      </c>
      <c r="V51" s="63"/>
      <c r="W51" s="175" t="s">
        <v>1078</v>
      </c>
      <c r="X51" s="175" t="s">
        <v>1125</v>
      </c>
      <c r="Y51" s="175" t="s">
        <v>1190</v>
      </c>
      <c r="Z51" s="175" t="s">
        <v>1225</v>
      </c>
      <c r="AA51" s="175" t="s">
        <v>1226</v>
      </c>
      <c r="AB51" s="63"/>
      <c r="AC51" s="175" t="s">
        <v>688</v>
      </c>
      <c r="AD51" s="175" t="s">
        <v>819</v>
      </c>
      <c r="AE51" s="175" t="s">
        <v>874</v>
      </c>
      <c r="AF51" s="175" t="s">
        <v>980</v>
      </c>
      <c r="AG51" s="176" t="s">
        <v>981</v>
      </c>
      <c r="AH51" s="63"/>
      <c r="AI51" s="180" t="s">
        <v>415</v>
      </c>
      <c r="AJ51" s="175" t="s">
        <v>454</v>
      </c>
      <c r="AK51" s="175" t="s">
        <v>545</v>
      </c>
      <c r="AL51" s="175" t="s">
        <v>689</v>
      </c>
      <c r="AM51" s="176" t="s">
        <v>690</v>
      </c>
      <c r="AN51" s="174"/>
      <c r="AO51" s="180" t="s">
        <v>323</v>
      </c>
      <c r="AP51" s="175" t="s">
        <v>288</v>
      </c>
      <c r="AQ51" s="175" t="s">
        <v>324</v>
      </c>
      <c r="AR51" s="175" t="s">
        <v>402</v>
      </c>
      <c r="AS51" s="176" t="s">
        <v>403</v>
      </c>
    </row>
    <row r="52" spans="1:45" ht="12.6" customHeight="1">
      <c r="A52" s="177" t="s">
        <v>22</v>
      </c>
      <c r="B52" s="176" t="s">
        <v>2214</v>
      </c>
      <c r="C52" s="176" t="s">
        <v>2252</v>
      </c>
      <c r="D52" s="63"/>
      <c r="E52" s="176" t="s">
        <v>1925</v>
      </c>
      <c r="F52" s="176" t="s">
        <v>1980</v>
      </c>
      <c r="G52" s="176" t="s">
        <v>2030</v>
      </c>
      <c r="H52" s="176" t="s">
        <v>2092</v>
      </c>
      <c r="I52" s="176" t="s">
        <v>2095</v>
      </c>
      <c r="J52" s="63"/>
      <c r="K52" s="176" t="s">
        <v>1610</v>
      </c>
      <c r="L52" s="176" t="s">
        <v>1671</v>
      </c>
      <c r="M52" s="176" t="s">
        <v>1752</v>
      </c>
      <c r="N52" s="176" t="s">
        <v>1808</v>
      </c>
      <c r="O52" s="176" t="s">
        <v>1813</v>
      </c>
      <c r="P52" s="63"/>
      <c r="Q52" s="176" t="s">
        <v>1335</v>
      </c>
      <c r="R52" s="176" t="s">
        <v>1386</v>
      </c>
      <c r="S52" s="176" t="s">
        <v>1414</v>
      </c>
      <c r="T52" s="176" t="s">
        <v>1475</v>
      </c>
      <c r="U52" s="176" t="s">
        <v>1476</v>
      </c>
      <c r="V52" s="63"/>
      <c r="W52" s="176" t="s">
        <v>1058</v>
      </c>
      <c r="X52" s="176" t="s">
        <v>1152</v>
      </c>
      <c r="Y52" s="176" t="s">
        <v>1153</v>
      </c>
      <c r="Z52" s="176" t="s">
        <v>1210</v>
      </c>
      <c r="AA52" s="176" t="s">
        <v>1216</v>
      </c>
      <c r="AB52" s="63"/>
      <c r="AC52" s="176" t="s">
        <v>691</v>
      </c>
      <c r="AD52" s="176" t="s">
        <v>799</v>
      </c>
      <c r="AE52" s="176" t="s">
        <v>867</v>
      </c>
      <c r="AF52" s="176" t="s">
        <v>911</v>
      </c>
      <c r="AG52" s="176" t="s">
        <v>944</v>
      </c>
      <c r="AH52" s="63"/>
      <c r="AI52" s="176" t="s">
        <v>410</v>
      </c>
      <c r="AJ52" s="176" t="s">
        <v>449</v>
      </c>
      <c r="AK52" s="176" t="s">
        <v>539</v>
      </c>
      <c r="AL52" s="176" t="s">
        <v>622</v>
      </c>
      <c r="AM52" s="176" t="s">
        <v>621</v>
      </c>
      <c r="AN52" s="182"/>
      <c r="AO52" s="176" t="s">
        <v>313</v>
      </c>
      <c r="AP52" s="176" t="s">
        <v>280</v>
      </c>
      <c r="AQ52" s="176" t="s">
        <v>314</v>
      </c>
      <c r="AR52" s="176" t="s">
        <v>388</v>
      </c>
      <c r="AS52" s="176" t="s">
        <v>389</v>
      </c>
    </row>
    <row r="54" spans="1:45" ht="12.6" customHeight="1">
      <c r="A54" s="28" t="s">
        <v>1646</v>
      </c>
    </row>
    <row r="55" spans="1:45" ht="12.6" customHeight="1">
      <c r="AK55" s="21"/>
    </row>
    <row r="56" spans="1:45" ht="12.6" customHeight="1">
      <c r="A56" s="140"/>
      <c r="B56" s="80" t="s">
        <v>2184</v>
      </c>
      <c r="C56" s="80" t="s">
        <v>2233</v>
      </c>
      <c r="D56" s="63"/>
      <c r="E56" s="80" t="s">
        <v>1914</v>
      </c>
      <c r="F56" s="80" t="s">
        <v>1969</v>
      </c>
      <c r="G56" s="80" t="s">
        <v>2020</v>
      </c>
      <c r="H56" s="80" t="s">
        <v>2069</v>
      </c>
      <c r="I56" s="80" t="s">
        <v>54</v>
      </c>
      <c r="J56" s="63"/>
      <c r="K56" s="80" t="s">
        <v>1589</v>
      </c>
      <c r="L56" s="80" t="s">
        <v>1662</v>
      </c>
      <c r="M56" s="80" t="s">
        <v>1728</v>
      </c>
      <c r="N56" s="80" t="s">
        <v>1785</v>
      </c>
      <c r="O56" s="80" t="s">
        <v>54</v>
      </c>
      <c r="P56" s="63"/>
      <c r="Q56" s="80" t="s">
        <v>1310</v>
      </c>
      <c r="R56" s="80" t="s">
        <v>1366</v>
      </c>
      <c r="S56" s="80" t="s">
        <v>1404</v>
      </c>
      <c r="T56" s="80" t="s">
        <v>1467</v>
      </c>
      <c r="U56" s="80" t="s">
        <v>54</v>
      </c>
      <c r="V56" s="63"/>
      <c r="W56" s="80" t="s">
        <v>1048</v>
      </c>
      <c r="X56" s="80" t="s">
        <v>1094</v>
      </c>
      <c r="Y56" s="80" t="s">
        <v>1142</v>
      </c>
      <c r="Z56" s="80" t="s">
        <v>1194</v>
      </c>
      <c r="AA56" s="80" t="s">
        <v>54</v>
      </c>
      <c r="AB56" s="63"/>
      <c r="AC56" s="80" t="s">
        <v>561</v>
      </c>
      <c r="AD56" s="80" t="s">
        <v>787</v>
      </c>
      <c r="AE56" s="80" t="s">
        <v>825</v>
      </c>
      <c r="AF56" s="80" t="s">
        <v>900</v>
      </c>
      <c r="AG56" s="173" t="s">
        <v>54</v>
      </c>
      <c r="AH56" s="63"/>
      <c r="AI56" s="80" t="s">
        <v>404</v>
      </c>
      <c r="AJ56" s="80" t="s">
        <v>405</v>
      </c>
      <c r="AK56" s="80" t="s">
        <v>406</v>
      </c>
      <c r="AL56" s="80" t="s">
        <v>407</v>
      </c>
      <c r="AM56" s="173" t="s">
        <v>54</v>
      </c>
      <c r="AN56" s="179"/>
      <c r="AO56" s="80" t="s">
        <v>232</v>
      </c>
      <c r="AP56" s="80" t="s">
        <v>233</v>
      </c>
      <c r="AQ56" s="80" t="s">
        <v>234</v>
      </c>
      <c r="AR56" s="80" t="s">
        <v>235</v>
      </c>
      <c r="AS56" s="173" t="s">
        <v>54</v>
      </c>
    </row>
    <row r="57" spans="1:45" ht="12.6" customHeight="1">
      <c r="A57" s="81" t="s">
        <v>24</v>
      </c>
      <c r="B57" s="175" t="s">
        <v>933</v>
      </c>
      <c r="C57" s="175" t="s">
        <v>531</v>
      </c>
      <c r="D57" s="88"/>
      <c r="E57" s="175" t="s">
        <v>536</v>
      </c>
      <c r="F57" s="175" t="s">
        <v>431</v>
      </c>
      <c r="G57" s="175" t="s">
        <v>529</v>
      </c>
      <c r="H57" s="175" t="s">
        <v>429</v>
      </c>
      <c r="I57" s="175" t="s">
        <v>1129</v>
      </c>
      <c r="J57" s="88"/>
      <c r="K57" s="175" t="s">
        <v>428</v>
      </c>
      <c r="L57" s="175" t="s">
        <v>536</v>
      </c>
      <c r="M57" s="175" t="s">
        <v>581</v>
      </c>
      <c r="N57" s="175" t="s">
        <v>444</v>
      </c>
      <c r="O57" s="175" t="s">
        <v>1949</v>
      </c>
      <c r="P57" s="88"/>
      <c r="Q57" s="175" t="s">
        <v>531</v>
      </c>
      <c r="R57" s="175" t="s">
        <v>462</v>
      </c>
      <c r="S57" s="175" t="s">
        <v>1442</v>
      </c>
      <c r="T57" s="175" t="s">
        <v>443</v>
      </c>
      <c r="U57" s="175" t="s">
        <v>1505</v>
      </c>
      <c r="V57" s="88"/>
      <c r="W57" s="175" t="s">
        <v>431</v>
      </c>
      <c r="X57" s="175" t="s">
        <v>526</v>
      </c>
      <c r="Y57" s="175" t="s">
        <v>430</v>
      </c>
      <c r="Z57" s="175" t="s">
        <v>580</v>
      </c>
      <c r="AA57" s="175" t="s">
        <v>1262</v>
      </c>
      <c r="AB57" s="88"/>
      <c r="AC57" s="175" t="s">
        <v>431</v>
      </c>
      <c r="AD57" s="175" t="s">
        <v>445</v>
      </c>
      <c r="AE57" s="175" t="s">
        <v>433</v>
      </c>
      <c r="AF57" s="175" t="s">
        <v>446</v>
      </c>
      <c r="AG57" s="176" t="s">
        <v>583</v>
      </c>
      <c r="AH57" s="88"/>
      <c r="AI57" s="175" t="s">
        <v>333</v>
      </c>
      <c r="AJ57" s="175" t="s">
        <v>428</v>
      </c>
      <c r="AK57" s="183" t="s">
        <v>529</v>
      </c>
      <c r="AL57" s="175" t="s">
        <v>446</v>
      </c>
      <c r="AM57" s="176" t="s">
        <v>623</v>
      </c>
      <c r="AN57" s="174"/>
      <c r="AO57" s="175" t="s">
        <v>78</v>
      </c>
      <c r="AP57" s="175" t="s">
        <v>273</v>
      </c>
      <c r="AQ57" s="183" t="s">
        <v>84</v>
      </c>
      <c r="AR57" s="175" t="s">
        <v>65</v>
      </c>
      <c r="AS57" s="176" t="s">
        <v>347</v>
      </c>
    </row>
    <row r="58" spans="1:45" ht="12.6" customHeight="1">
      <c r="A58" s="81" t="s">
        <v>39</v>
      </c>
      <c r="B58" s="175" t="s">
        <v>912</v>
      </c>
      <c r="C58" s="175" t="s">
        <v>438</v>
      </c>
      <c r="D58" s="88"/>
      <c r="E58" s="175" t="s">
        <v>531</v>
      </c>
      <c r="F58" s="175" t="s">
        <v>429</v>
      </c>
      <c r="G58" s="175" t="s">
        <v>446</v>
      </c>
      <c r="H58" s="175" t="s">
        <v>428</v>
      </c>
      <c r="I58" s="175" t="s">
        <v>444</v>
      </c>
      <c r="J58" s="88"/>
      <c r="K58" s="175" t="s">
        <v>446</v>
      </c>
      <c r="L58" s="175" t="s">
        <v>446</v>
      </c>
      <c r="M58" s="175" t="s">
        <v>446</v>
      </c>
      <c r="N58" s="175" t="s">
        <v>1133</v>
      </c>
      <c r="O58" s="175" t="s">
        <v>1954</v>
      </c>
      <c r="P58" s="88"/>
      <c r="Q58" s="175" t="s">
        <v>433</v>
      </c>
      <c r="R58" s="175" t="s">
        <v>582</v>
      </c>
      <c r="S58" s="175" t="s">
        <v>1443</v>
      </c>
      <c r="T58" s="175" t="s">
        <v>445</v>
      </c>
      <c r="U58" s="175" t="s">
        <v>1416</v>
      </c>
      <c r="V58" s="88"/>
      <c r="W58" s="175" t="s">
        <v>824</v>
      </c>
      <c r="X58" s="175" t="s">
        <v>443</v>
      </c>
      <c r="Y58" s="175" t="s">
        <v>433</v>
      </c>
      <c r="Z58" s="175" t="s">
        <v>883</v>
      </c>
      <c r="AA58" s="175" t="s">
        <v>1263</v>
      </c>
      <c r="AB58" s="88"/>
      <c r="AC58" s="175" t="s">
        <v>445</v>
      </c>
      <c r="AD58" s="175" t="s">
        <v>531</v>
      </c>
      <c r="AE58" s="175" t="s">
        <v>880</v>
      </c>
      <c r="AF58" s="175" t="s">
        <v>982</v>
      </c>
      <c r="AG58" s="176" t="s">
        <v>1011</v>
      </c>
      <c r="AH58" s="88"/>
      <c r="AI58" s="175" t="s">
        <v>78</v>
      </c>
      <c r="AJ58" s="175" t="s">
        <v>429</v>
      </c>
      <c r="AK58" s="183" t="s">
        <v>428</v>
      </c>
      <c r="AL58" s="175" t="s">
        <v>446</v>
      </c>
      <c r="AM58" s="176" t="s">
        <v>335</v>
      </c>
      <c r="AN58" s="139"/>
      <c r="AO58" s="175" t="s">
        <v>63</v>
      </c>
      <c r="AP58" s="175" t="s">
        <v>193</v>
      </c>
      <c r="AQ58" s="183" t="s">
        <v>132</v>
      </c>
      <c r="AR58" s="175" t="s">
        <v>84</v>
      </c>
      <c r="AS58" s="176" t="s">
        <v>198</v>
      </c>
    </row>
    <row r="59" spans="1:45" ht="12.6" customHeight="1">
      <c r="A59" s="81" t="s">
        <v>8</v>
      </c>
      <c r="B59" s="175" t="s">
        <v>445</v>
      </c>
      <c r="C59" s="175" t="s">
        <v>1079</v>
      </c>
      <c r="D59" s="88"/>
      <c r="E59" s="175" t="s">
        <v>1945</v>
      </c>
      <c r="F59" s="175" t="s">
        <v>2006</v>
      </c>
      <c r="G59" s="175" t="s">
        <v>2055</v>
      </c>
      <c r="H59" s="175" t="s">
        <v>1043</v>
      </c>
      <c r="I59" s="175" t="s">
        <v>2150</v>
      </c>
      <c r="J59" s="88"/>
      <c r="K59" s="175" t="s">
        <v>430</v>
      </c>
      <c r="L59" s="175" t="s">
        <v>446</v>
      </c>
      <c r="M59" s="175" t="s">
        <v>1773</v>
      </c>
      <c r="N59" s="175" t="s">
        <v>429</v>
      </c>
      <c r="O59" s="175" t="s">
        <v>1950</v>
      </c>
      <c r="P59" s="88"/>
      <c r="Q59" s="175" t="s">
        <v>531</v>
      </c>
      <c r="R59" s="175" t="s">
        <v>1396</v>
      </c>
      <c r="S59" s="175" t="s">
        <v>433</v>
      </c>
      <c r="T59" s="175" t="s">
        <v>883</v>
      </c>
      <c r="U59" s="175" t="s">
        <v>1506</v>
      </c>
      <c r="V59" s="88"/>
      <c r="W59" s="175" t="s">
        <v>1079</v>
      </c>
      <c r="X59" s="175" t="s">
        <v>1126</v>
      </c>
      <c r="Y59" s="175" t="s">
        <v>430</v>
      </c>
      <c r="Z59" s="175" t="s">
        <v>582</v>
      </c>
      <c r="AA59" s="175" t="s">
        <v>1264</v>
      </c>
      <c r="AB59" s="88"/>
      <c r="AC59" s="175" t="s">
        <v>430</v>
      </c>
      <c r="AD59" s="175" t="s">
        <v>820</v>
      </c>
      <c r="AE59" s="175" t="s">
        <v>430</v>
      </c>
      <c r="AF59" s="175" t="s">
        <v>983</v>
      </c>
      <c r="AG59" s="176" t="s">
        <v>1012</v>
      </c>
      <c r="AH59" s="88"/>
      <c r="AI59" s="175" t="s">
        <v>65</v>
      </c>
      <c r="AJ59" s="175" t="s">
        <v>430</v>
      </c>
      <c r="AK59" s="183" t="s">
        <v>430</v>
      </c>
      <c r="AL59" s="175" t="s">
        <v>430</v>
      </c>
      <c r="AM59" s="176" t="s">
        <v>65</v>
      </c>
      <c r="AN59" s="174"/>
      <c r="AO59" s="175" t="s">
        <v>127</v>
      </c>
      <c r="AP59" s="175" t="s">
        <v>47</v>
      </c>
      <c r="AQ59" s="183" t="s">
        <v>47</v>
      </c>
      <c r="AR59" s="175" t="s">
        <v>52</v>
      </c>
      <c r="AS59" s="176" t="s">
        <v>307</v>
      </c>
    </row>
    <row r="60" spans="1:45" ht="12.6" customHeight="1">
      <c r="A60" s="81" t="s">
        <v>35</v>
      </c>
      <c r="B60" s="175" t="s">
        <v>2208</v>
      </c>
      <c r="C60" s="175" t="s">
        <v>1815</v>
      </c>
      <c r="D60" s="88"/>
      <c r="E60" s="175" t="s">
        <v>1946</v>
      </c>
      <c r="F60" s="175" t="s">
        <v>462</v>
      </c>
      <c r="G60" s="175" t="s">
        <v>2056</v>
      </c>
      <c r="H60" s="175" t="s">
        <v>444</v>
      </c>
      <c r="I60" s="175" t="s">
        <v>2151</v>
      </c>
      <c r="J60" s="88"/>
      <c r="K60" s="175" t="s">
        <v>583</v>
      </c>
      <c r="L60" s="175" t="s">
        <v>1228</v>
      </c>
      <c r="M60" s="175" t="s">
        <v>443</v>
      </c>
      <c r="N60" s="175" t="s">
        <v>1345</v>
      </c>
      <c r="O60" s="175" t="s">
        <v>1951</v>
      </c>
      <c r="P60" s="88"/>
      <c r="Q60" s="175" t="s">
        <v>443</v>
      </c>
      <c r="R60" s="175" t="s">
        <v>431</v>
      </c>
      <c r="S60" s="175" t="s">
        <v>1444</v>
      </c>
      <c r="T60" s="175" t="s">
        <v>440</v>
      </c>
      <c r="U60" s="175" t="s">
        <v>1507</v>
      </c>
      <c r="V60" s="88"/>
      <c r="W60" s="175" t="s">
        <v>428</v>
      </c>
      <c r="X60" s="175" t="s">
        <v>529</v>
      </c>
      <c r="Y60" s="175" t="s">
        <v>428</v>
      </c>
      <c r="Z60" s="175" t="s">
        <v>1230</v>
      </c>
      <c r="AA60" s="175" t="s">
        <v>1265</v>
      </c>
      <c r="AB60" s="88"/>
      <c r="AC60" s="175" t="s">
        <v>582</v>
      </c>
      <c r="AD60" s="175" t="s">
        <v>445</v>
      </c>
      <c r="AE60" s="175" t="s">
        <v>881</v>
      </c>
      <c r="AF60" s="175" t="s">
        <v>984</v>
      </c>
      <c r="AG60" s="176" t="s">
        <v>1013</v>
      </c>
      <c r="AH60" s="88"/>
      <c r="AI60" s="175" t="s">
        <v>63</v>
      </c>
      <c r="AJ60" s="175" t="s">
        <v>431</v>
      </c>
      <c r="AK60" s="183" t="s">
        <v>462</v>
      </c>
      <c r="AL60" s="175" t="s">
        <v>443</v>
      </c>
      <c r="AM60" s="176" t="s">
        <v>472</v>
      </c>
      <c r="AN60" s="139"/>
      <c r="AO60" s="175" t="s">
        <v>47</v>
      </c>
      <c r="AP60" s="175" t="s">
        <v>243</v>
      </c>
      <c r="AQ60" s="183" t="s">
        <v>333</v>
      </c>
      <c r="AR60" s="175" t="s">
        <v>82</v>
      </c>
      <c r="AS60" s="176" t="s">
        <v>348</v>
      </c>
    </row>
    <row r="61" spans="1:45" ht="12.6" customHeight="1">
      <c r="A61" s="81" t="s">
        <v>40</v>
      </c>
      <c r="B61" s="175" t="s">
        <v>1815</v>
      </c>
      <c r="C61" s="175" t="s">
        <v>445</v>
      </c>
      <c r="D61" s="88"/>
      <c r="E61" s="175" t="s">
        <v>588</v>
      </c>
      <c r="F61" s="175" t="s">
        <v>536</v>
      </c>
      <c r="G61" s="175" t="s">
        <v>1945</v>
      </c>
      <c r="H61" s="175" t="s">
        <v>432</v>
      </c>
      <c r="I61" s="175" t="s">
        <v>2153</v>
      </c>
      <c r="J61" s="88"/>
      <c r="K61" s="175" t="s">
        <v>630</v>
      </c>
      <c r="L61" s="175" t="s">
        <v>443</v>
      </c>
      <c r="M61" s="175" t="s">
        <v>1130</v>
      </c>
      <c r="N61" s="175" t="s">
        <v>462</v>
      </c>
      <c r="O61" s="175" t="s">
        <v>1952</v>
      </c>
      <c r="P61" s="88"/>
      <c r="Q61" s="175" t="s">
        <v>1345</v>
      </c>
      <c r="R61" s="175" t="s">
        <v>1397</v>
      </c>
      <c r="S61" s="175" t="s">
        <v>1445</v>
      </c>
      <c r="T61" s="175" t="s">
        <v>1500</v>
      </c>
      <c r="U61" s="175" t="s">
        <v>1508</v>
      </c>
      <c r="V61" s="88"/>
      <c r="W61" s="175" t="s">
        <v>429</v>
      </c>
      <c r="X61" s="175" t="s">
        <v>1127</v>
      </c>
      <c r="Y61" s="175" t="s">
        <v>444</v>
      </c>
      <c r="Z61" s="175" t="s">
        <v>1231</v>
      </c>
      <c r="AA61" s="175" t="s">
        <v>1266</v>
      </c>
      <c r="AB61" s="88"/>
      <c r="AC61" s="175" t="s">
        <v>446</v>
      </c>
      <c r="AD61" s="175" t="s">
        <v>430</v>
      </c>
      <c r="AE61" s="175" t="s">
        <v>882</v>
      </c>
      <c r="AF61" s="175" t="s">
        <v>985</v>
      </c>
      <c r="AG61" s="176" t="s">
        <v>1014</v>
      </c>
      <c r="AH61" s="88"/>
      <c r="AI61" s="175" t="s">
        <v>333</v>
      </c>
      <c r="AJ61" s="175" t="s">
        <v>432</v>
      </c>
      <c r="AK61" s="183" t="s">
        <v>530</v>
      </c>
      <c r="AL61" s="175" t="s">
        <v>624</v>
      </c>
      <c r="AM61" s="176" t="s">
        <v>625</v>
      </c>
      <c r="AN61" s="174"/>
      <c r="AO61" s="175" t="s">
        <v>243</v>
      </c>
      <c r="AP61" s="175" t="s">
        <v>274</v>
      </c>
      <c r="AQ61" s="183" t="s">
        <v>298</v>
      </c>
      <c r="AR61" s="175" t="s">
        <v>337</v>
      </c>
      <c r="AS61" s="176" t="s">
        <v>349</v>
      </c>
    </row>
    <row r="62" spans="1:45" ht="12.6" customHeight="1">
      <c r="A62" s="81" t="s">
        <v>68</v>
      </c>
      <c r="B62" s="175" t="s">
        <v>531</v>
      </c>
      <c r="C62" s="175" t="s">
        <v>824</v>
      </c>
      <c r="D62" s="88"/>
      <c r="E62" s="175" t="s">
        <v>430</v>
      </c>
      <c r="F62" s="175" t="s">
        <v>880</v>
      </c>
      <c r="G62" s="175" t="s">
        <v>433</v>
      </c>
      <c r="H62" s="175" t="s">
        <v>462</v>
      </c>
      <c r="I62" s="175" t="s">
        <v>2149</v>
      </c>
      <c r="J62" s="88"/>
      <c r="K62" s="175" t="s">
        <v>445</v>
      </c>
      <c r="L62" s="175" t="s">
        <v>442</v>
      </c>
      <c r="M62" s="175" t="s">
        <v>446</v>
      </c>
      <c r="N62" s="175" t="s">
        <v>580</v>
      </c>
      <c r="O62" s="175" t="s">
        <v>432</v>
      </c>
      <c r="P62" s="88"/>
      <c r="Q62" s="175" t="s">
        <v>430</v>
      </c>
      <c r="R62" s="175" t="s">
        <v>582</v>
      </c>
      <c r="S62" s="175" t="s">
        <v>1228</v>
      </c>
      <c r="T62" s="175" t="s">
        <v>583</v>
      </c>
      <c r="U62" s="175" t="s">
        <v>1399</v>
      </c>
      <c r="V62" s="88"/>
      <c r="W62" s="175" t="s">
        <v>430</v>
      </c>
      <c r="X62" s="175" t="s">
        <v>531</v>
      </c>
      <c r="Y62" s="175" t="s">
        <v>446</v>
      </c>
      <c r="Z62" s="175" t="s">
        <v>430</v>
      </c>
      <c r="AA62" s="175" t="s">
        <v>436</v>
      </c>
      <c r="AB62" s="88"/>
      <c r="AC62" s="175" t="s">
        <v>430</v>
      </c>
      <c r="AD62" s="175" t="s">
        <v>430</v>
      </c>
      <c r="AE62" s="175" t="s">
        <v>883</v>
      </c>
      <c r="AF62" s="175" t="s">
        <v>431</v>
      </c>
      <c r="AG62" s="176" t="s">
        <v>988</v>
      </c>
      <c r="AH62" s="88"/>
      <c r="AI62" s="175" t="s">
        <v>46</v>
      </c>
      <c r="AJ62" s="175" t="s">
        <v>431</v>
      </c>
      <c r="AK62" s="183" t="s">
        <v>446</v>
      </c>
      <c r="AL62" s="175" t="s">
        <v>626</v>
      </c>
      <c r="AM62" s="176" t="s">
        <v>520</v>
      </c>
      <c r="AN62" s="174"/>
      <c r="AO62" s="175" t="s">
        <v>47</v>
      </c>
      <c r="AP62" s="175" t="s">
        <v>69</v>
      </c>
      <c r="AQ62" s="183" t="s">
        <v>65</v>
      </c>
      <c r="AR62" s="175" t="s">
        <v>97</v>
      </c>
      <c r="AS62" s="176" t="s">
        <v>335</v>
      </c>
    </row>
    <row r="63" spans="1:45" ht="12.6" customHeight="1">
      <c r="A63" s="81" t="s">
        <v>93</v>
      </c>
      <c r="B63" s="175" t="s">
        <v>1396</v>
      </c>
      <c r="C63" s="175" t="s">
        <v>530</v>
      </c>
      <c r="D63" s="88"/>
      <c r="E63" s="175" t="s">
        <v>2154</v>
      </c>
      <c r="F63" s="175" t="s">
        <v>2007</v>
      </c>
      <c r="G63" s="175" t="s">
        <v>986</v>
      </c>
      <c r="H63" s="175" t="s">
        <v>2149</v>
      </c>
      <c r="I63" s="175" t="s">
        <v>2152</v>
      </c>
      <c r="J63" s="88"/>
      <c r="K63" s="175" t="s">
        <v>1171</v>
      </c>
      <c r="L63" s="175" t="s">
        <v>1675</v>
      </c>
      <c r="M63" s="175" t="s">
        <v>1774</v>
      </c>
      <c r="N63" s="175" t="s">
        <v>462</v>
      </c>
      <c r="O63" s="175" t="s">
        <v>1953</v>
      </c>
      <c r="P63" s="88"/>
      <c r="Q63" s="175" t="s">
        <v>1232</v>
      </c>
      <c r="R63" s="175" t="s">
        <v>1171</v>
      </c>
      <c r="S63" s="175" t="s">
        <v>1446</v>
      </c>
      <c r="T63" s="175" t="s">
        <v>1128</v>
      </c>
      <c r="U63" s="175" t="s">
        <v>1509</v>
      </c>
      <c r="V63" s="88"/>
      <c r="W63" s="175" t="s">
        <v>1080</v>
      </c>
      <c r="X63" s="175" t="s">
        <v>1128</v>
      </c>
      <c r="Y63" s="175" t="s">
        <v>1171</v>
      </c>
      <c r="Z63" s="175" t="s">
        <v>1232</v>
      </c>
      <c r="AA63" s="175" t="s">
        <v>1267</v>
      </c>
      <c r="AB63" s="88"/>
      <c r="AC63" s="175" t="s">
        <v>445</v>
      </c>
      <c r="AD63" s="175" t="s">
        <v>445</v>
      </c>
      <c r="AE63" s="175" t="s">
        <v>884</v>
      </c>
      <c r="AF63" s="175" t="s">
        <v>986</v>
      </c>
      <c r="AG63" s="176" t="s">
        <v>1015</v>
      </c>
      <c r="AH63" s="88"/>
      <c r="AI63" s="175" t="s">
        <v>69</v>
      </c>
      <c r="AJ63" s="175" t="s">
        <v>433</v>
      </c>
      <c r="AK63" s="183" t="s">
        <v>531</v>
      </c>
      <c r="AL63" s="175" t="s">
        <v>429</v>
      </c>
      <c r="AM63" s="176" t="s">
        <v>196</v>
      </c>
      <c r="AN63" s="139"/>
      <c r="AO63" s="175" t="s">
        <v>69</v>
      </c>
      <c r="AP63" s="175" t="s">
        <v>197</v>
      </c>
      <c r="AQ63" s="183" t="s">
        <v>46</v>
      </c>
      <c r="AR63" s="175" t="s">
        <v>76</v>
      </c>
      <c r="AS63" s="176" t="s">
        <v>350</v>
      </c>
    </row>
    <row r="64" spans="1:45" ht="12.6" customHeight="1">
      <c r="A64" s="177" t="s">
        <v>22</v>
      </c>
      <c r="B64" s="176" t="s">
        <v>2206</v>
      </c>
      <c r="C64" s="176" t="s">
        <v>2267</v>
      </c>
      <c r="D64" s="88"/>
      <c r="E64" s="176" t="s">
        <v>1927</v>
      </c>
      <c r="F64" s="176" t="s">
        <v>1984</v>
      </c>
      <c r="G64" s="176" t="s">
        <v>2033</v>
      </c>
      <c r="H64" s="176" t="s">
        <v>2097</v>
      </c>
      <c r="I64" s="176" t="s">
        <v>2104</v>
      </c>
      <c r="J64" s="88"/>
      <c r="K64" s="176" t="s">
        <v>1616</v>
      </c>
      <c r="L64" s="176" t="s">
        <v>1673</v>
      </c>
      <c r="M64" s="176" t="s">
        <v>1775</v>
      </c>
      <c r="N64" s="176" t="s">
        <v>1876</v>
      </c>
      <c r="O64" s="176" t="s">
        <v>1510</v>
      </c>
      <c r="P64" s="88"/>
      <c r="Q64" s="176" t="s">
        <v>1343</v>
      </c>
      <c r="R64" s="176" t="s">
        <v>1398</v>
      </c>
      <c r="S64" s="176" t="s">
        <v>1417</v>
      </c>
      <c r="T64" s="176" t="s">
        <v>1491</v>
      </c>
      <c r="U64" s="176" t="s">
        <v>1510</v>
      </c>
      <c r="V64" s="88"/>
      <c r="W64" s="176" t="s">
        <v>1060</v>
      </c>
      <c r="X64" s="176" t="s">
        <v>1105</v>
      </c>
      <c r="Y64" s="176" t="s">
        <v>1172</v>
      </c>
      <c r="Z64" s="176" t="s">
        <v>1233</v>
      </c>
      <c r="AA64" s="176" t="s">
        <v>1268</v>
      </c>
      <c r="AB64" s="88"/>
      <c r="AC64" s="176" t="s">
        <v>588</v>
      </c>
      <c r="AD64" s="176" t="s">
        <v>803</v>
      </c>
      <c r="AE64" s="176" t="s">
        <v>885</v>
      </c>
      <c r="AF64" s="176" t="s">
        <v>917</v>
      </c>
      <c r="AG64" s="176" t="s">
        <v>1016</v>
      </c>
      <c r="AH64" s="88"/>
      <c r="AI64" s="176" t="s">
        <v>198</v>
      </c>
      <c r="AJ64" s="176" t="s">
        <v>434</v>
      </c>
      <c r="AK64" s="184" t="s">
        <v>527</v>
      </c>
      <c r="AL64" s="176" t="s">
        <v>589</v>
      </c>
      <c r="AM64" s="176" t="s">
        <v>590</v>
      </c>
      <c r="AN64" s="179"/>
      <c r="AO64" s="176" t="s">
        <v>216</v>
      </c>
      <c r="AP64" s="176" t="s">
        <v>169</v>
      </c>
      <c r="AQ64" s="184" t="s">
        <v>341</v>
      </c>
      <c r="AR64" s="176" t="s">
        <v>342</v>
      </c>
      <c r="AS64" s="176" t="s">
        <v>351</v>
      </c>
    </row>
    <row r="66" spans="1:45" ht="12.6" customHeight="1">
      <c r="A66" s="28" t="s">
        <v>1647</v>
      </c>
    </row>
    <row r="68" spans="1:45" ht="12.6" customHeight="1">
      <c r="A68" s="140"/>
      <c r="B68" s="80" t="s">
        <v>2184</v>
      </c>
      <c r="C68" s="80" t="s">
        <v>2233</v>
      </c>
      <c r="D68" s="63"/>
      <c r="E68" s="80" t="s">
        <v>1914</v>
      </c>
      <c r="F68" s="80" t="s">
        <v>1969</v>
      </c>
      <c r="G68" s="80" t="s">
        <v>2020</v>
      </c>
      <c r="H68" s="80" t="s">
        <v>2069</v>
      </c>
      <c r="I68" s="80" t="s">
        <v>54</v>
      </c>
      <c r="J68" s="63"/>
      <c r="K68" s="80" t="s">
        <v>1589</v>
      </c>
      <c r="L68" s="80" t="s">
        <v>1662</v>
      </c>
      <c r="M68" s="80" t="s">
        <v>1728</v>
      </c>
      <c r="N68" s="80" t="s">
        <v>1785</v>
      </c>
      <c r="O68" s="80" t="s">
        <v>54</v>
      </c>
      <c r="P68" s="63"/>
      <c r="Q68" s="80" t="s">
        <v>1310</v>
      </c>
      <c r="R68" s="80" t="s">
        <v>1366</v>
      </c>
      <c r="S68" s="80" t="s">
        <v>1404</v>
      </c>
      <c r="T68" s="80" t="s">
        <v>1467</v>
      </c>
      <c r="U68" s="80" t="s">
        <v>54</v>
      </c>
      <c r="V68" s="63"/>
      <c r="W68" s="80" t="s">
        <v>1048</v>
      </c>
      <c r="X68" s="80" t="s">
        <v>1094</v>
      </c>
      <c r="Y68" s="80" t="s">
        <v>1142</v>
      </c>
      <c r="Z68" s="80" t="s">
        <v>1194</v>
      </c>
      <c r="AA68" s="80" t="s">
        <v>54</v>
      </c>
      <c r="AB68" s="63"/>
      <c r="AC68" s="80" t="s">
        <v>565</v>
      </c>
      <c r="AD68" s="80" t="s">
        <v>788</v>
      </c>
      <c r="AE68" s="80" t="s">
        <v>825</v>
      </c>
      <c r="AF68" s="80" t="s">
        <v>900</v>
      </c>
      <c r="AG68" s="173" t="s">
        <v>54</v>
      </c>
      <c r="AH68" s="63"/>
      <c r="AI68" s="80" t="s">
        <v>404</v>
      </c>
      <c r="AJ68" s="80" t="s">
        <v>405</v>
      </c>
      <c r="AK68" s="80" t="s">
        <v>406</v>
      </c>
      <c r="AL68" s="80" t="s">
        <v>407</v>
      </c>
      <c r="AM68" s="173" t="s">
        <v>54</v>
      </c>
      <c r="AN68" s="179"/>
      <c r="AO68" s="80" t="s">
        <v>232</v>
      </c>
      <c r="AP68" s="80" t="s">
        <v>233</v>
      </c>
      <c r="AQ68" s="80" t="s">
        <v>234</v>
      </c>
      <c r="AR68" s="80" t="s">
        <v>235</v>
      </c>
      <c r="AS68" s="173" t="s">
        <v>54</v>
      </c>
    </row>
    <row r="69" spans="1:45" ht="12.6" customHeight="1">
      <c r="A69" s="81" t="s">
        <v>24</v>
      </c>
      <c r="B69" s="175" t="s">
        <v>2209</v>
      </c>
      <c r="C69" s="175" t="s">
        <v>1231</v>
      </c>
      <c r="D69" s="63"/>
      <c r="E69" s="175" t="s">
        <v>1947</v>
      </c>
      <c r="F69" s="175" t="s">
        <v>2008</v>
      </c>
      <c r="G69" s="175" t="s">
        <v>435</v>
      </c>
      <c r="H69" s="175" t="s">
        <v>2155</v>
      </c>
      <c r="I69" s="175" t="s">
        <v>2159</v>
      </c>
      <c r="J69" s="63"/>
      <c r="K69" s="175" t="s">
        <v>529</v>
      </c>
      <c r="L69" s="175" t="s">
        <v>1676</v>
      </c>
      <c r="M69" s="175" t="s">
        <v>1776</v>
      </c>
      <c r="N69" s="175" t="s">
        <v>1878</v>
      </c>
      <c r="O69" s="175" t="s">
        <v>1955</v>
      </c>
      <c r="P69" s="63"/>
      <c r="Q69" s="175" t="s">
        <v>1346</v>
      </c>
      <c r="R69" s="175" t="s">
        <v>1399</v>
      </c>
      <c r="S69" s="175" t="s">
        <v>1447</v>
      </c>
      <c r="T69" s="175" t="s">
        <v>1230</v>
      </c>
      <c r="U69" s="175" t="s">
        <v>1511</v>
      </c>
      <c r="V69" s="63"/>
      <c r="W69" s="175" t="s">
        <v>1081</v>
      </c>
      <c r="X69" s="175" t="s">
        <v>1129</v>
      </c>
      <c r="Y69" s="175" t="s">
        <v>1020</v>
      </c>
      <c r="Z69" s="175" t="s">
        <v>1234</v>
      </c>
      <c r="AA69" s="175" t="s">
        <v>1269</v>
      </c>
      <c r="AB69" s="63"/>
      <c r="AC69" s="175" t="s">
        <v>649</v>
      </c>
      <c r="AD69" s="175" t="s">
        <v>821</v>
      </c>
      <c r="AE69" s="175" t="s">
        <v>886</v>
      </c>
      <c r="AF69" s="175" t="s">
        <v>987</v>
      </c>
      <c r="AG69" s="176" t="s">
        <v>1017</v>
      </c>
      <c r="AH69" s="63"/>
      <c r="AI69" s="175" t="s">
        <v>417</v>
      </c>
      <c r="AJ69" s="175" t="s">
        <v>435</v>
      </c>
      <c r="AK69" s="183" t="s">
        <v>532</v>
      </c>
      <c r="AL69" s="175" t="s">
        <v>650</v>
      </c>
      <c r="AM69" s="176" t="s">
        <v>651</v>
      </c>
      <c r="AN69" s="174"/>
      <c r="AO69" s="175" t="s">
        <v>245</v>
      </c>
      <c r="AP69" s="175" t="s">
        <v>64</v>
      </c>
      <c r="AQ69" s="183" t="s">
        <v>163</v>
      </c>
      <c r="AR69" s="175" t="s">
        <v>194</v>
      </c>
      <c r="AS69" s="176" t="s">
        <v>352</v>
      </c>
    </row>
    <row r="70" spans="1:45" ht="12.6" customHeight="1">
      <c r="A70" s="81" t="s">
        <v>39</v>
      </c>
      <c r="B70" s="175" t="s">
        <v>582</v>
      </c>
      <c r="C70" s="175" t="s">
        <v>529</v>
      </c>
      <c r="D70" s="63"/>
      <c r="E70" s="175" t="s">
        <v>580</v>
      </c>
      <c r="F70" s="175" t="s">
        <v>429</v>
      </c>
      <c r="G70" s="175" t="s">
        <v>530</v>
      </c>
      <c r="H70" s="175" t="s">
        <v>652</v>
      </c>
      <c r="I70" s="175" t="s">
        <v>2160</v>
      </c>
      <c r="J70" s="63"/>
      <c r="K70" s="175" t="s">
        <v>531</v>
      </c>
      <c r="L70" s="175" t="s">
        <v>580</v>
      </c>
      <c r="M70" s="175" t="s">
        <v>428</v>
      </c>
      <c r="N70" s="175" t="s">
        <v>1235</v>
      </c>
      <c r="O70" s="175" t="s">
        <v>1399</v>
      </c>
      <c r="P70" s="63"/>
      <c r="Q70" s="175" t="s">
        <v>581</v>
      </c>
      <c r="R70" s="175" t="s">
        <v>443</v>
      </c>
      <c r="S70" s="175" t="s">
        <v>431</v>
      </c>
      <c r="T70" s="175" t="s">
        <v>1501</v>
      </c>
      <c r="U70" s="175" t="s">
        <v>1512</v>
      </c>
      <c r="V70" s="63"/>
      <c r="W70" s="175" t="s">
        <v>438</v>
      </c>
      <c r="X70" s="175" t="s">
        <v>1130</v>
      </c>
      <c r="Y70" s="175" t="s">
        <v>529</v>
      </c>
      <c r="Z70" s="175" t="s">
        <v>1235</v>
      </c>
      <c r="AA70" s="175" t="s">
        <v>1270</v>
      </c>
      <c r="AB70" s="63"/>
      <c r="AC70" s="175" t="s">
        <v>652</v>
      </c>
      <c r="AD70" s="175" t="s">
        <v>822</v>
      </c>
      <c r="AE70" s="175" t="s">
        <v>430</v>
      </c>
      <c r="AF70" s="175" t="s">
        <v>988</v>
      </c>
      <c r="AG70" s="176" t="s">
        <v>1018</v>
      </c>
      <c r="AH70" s="63"/>
      <c r="AI70" s="175" t="s">
        <v>418</v>
      </c>
      <c r="AJ70" s="175" t="s">
        <v>436</v>
      </c>
      <c r="AK70" s="183" t="s">
        <v>533</v>
      </c>
      <c r="AL70" s="175" t="s">
        <v>531</v>
      </c>
      <c r="AM70" s="176" t="s">
        <v>653</v>
      </c>
      <c r="AN70" s="139"/>
      <c r="AO70" s="175" t="s">
        <v>80</v>
      </c>
      <c r="AP70" s="175" t="s">
        <v>243</v>
      </c>
      <c r="AQ70" s="183" t="s">
        <v>65</v>
      </c>
      <c r="AR70" s="175" t="s">
        <v>353</v>
      </c>
      <c r="AS70" s="176" t="s">
        <v>354</v>
      </c>
    </row>
    <row r="71" spans="1:45" ht="12.6" customHeight="1">
      <c r="A71" s="81" t="s">
        <v>8</v>
      </c>
      <c r="B71" s="175" t="s">
        <v>2210</v>
      </c>
      <c r="C71" s="175" t="s">
        <v>2269</v>
      </c>
      <c r="D71" s="63"/>
      <c r="E71" s="175" t="s">
        <v>1958</v>
      </c>
      <c r="F71" s="175" t="s">
        <v>2009</v>
      </c>
      <c r="G71" s="175" t="s">
        <v>2057</v>
      </c>
      <c r="H71" s="175" t="s">
        <v>2156</v>
      </c>
      <c r="I71" s="175" t="s">
        <v>2161</v>
      </c>
      <c r="J71" s="63"/>
      <c r="K71" s="175" t="s">
        <v>1618</v>
      </c>
      <c r="L71" s="175" t="s">
        <v>1677</v>
      </c>
      <c r="M71" s="175" t="s">
        <v>1777</v>
      </c>
      <c r="N71" s="175" t="s">
        <v>1879</v>
      </c>
      <c r="O71" s="175" t="s">
        <v>1948</v>
      </c>
      <c r="P71" s="63"/>
      <c r="Q71" s="175" t="s">
        <v>1347</v>
      </c>
      <c r="R71" s="175" t="s">
        <v>1400</v>
      </c>
      <c r="S71" s="175" t="s">
        <v>1448</v>
      </c>
      <c r="T71" s="175" t="s">
        <v>1502</v>
      </c>
      <c r="U71" s="175" t="s">
        <v>1513</v>
      </c>
      <c r="V71" s="63"/>
      <c r="W71" s="175" t="s">
        <v>1082</v>
      </c>
      <c r="X71" s="175" t="s">
        <v>1131</v>
      </c>
      <c r="Y71" s="175" t="s">
        <v>1173</v>
      </c>
      <c r="Z71" s="175" t="s">
        <v>1236</v>
      </c>
      <c r="AA71" s="175" t="s">
        <v>1271</v>
      </c>
      <c r="AB71" s="63"/>
      <c r="AC71" s="175" t="s">
        <v>654</v>
      </c>
      <c r="AD71" s="175" t="s">
        <v>823</v>
      </c>
      <c r="AE71" s="175" t="s">
        <v>887</v>
      </c>
      <c r="AF71" s="175" t="s">
        <v>989</v>
      </c>
      <c r="AG71" s="176" t="s">
        <v>1019</v>
      </c>
      <c r="AH71" s="63"/>
      <c r="AI71" s="175" t="s">
        <v>419</v>
      </c>
      <c r="AJ71" s="175" t="s">
        <v>437</v>
      </c>
      <c r="AK71" s="183" t="s">
        <v>534</v>
      </c>
      <c r="AL71" s="175" t="s">
        <v>655</v>
      </c>
      <c r="AM71" s="176" t="s">
        <v>656</v>
      </c>
      <c r="AN71" s="174"/>
      <c r="AO71" s="175" t="s">
        <v>246</v>
      </c>
      <c r="AP71" s="175" t="s">
        <v>275</v>
      </c>
      <c r="AQ71" s="183" t="s">
        <v>200</v>
      </c>
      <c r="AR71" s="175" t="s">
        <v>217</v>
      </c>
      <c r="AS71" s="176" t="s">
        <v>355</v>
      </c>
    </row>
    <row r="72" spans="1:45" ht="12.6" customHeight="1">
      <c r="A72" s="81" t="s">
        <v>35</v>
      </c>
      <c r="B72" s="175" t="s">
        <v>580</v>
      </c>
      <c r="C72" s="175" t="s">
        <v>430</v>
      </c>
      <c r="D72" s="63"/>
      <c r="E72" s="175" t="s">
        <v>912</v>
      </c>
      <c r="F72" s="175" t="s">
        <v>1228</v>
      </c>
      <c r="G72" s="175" t="s">
        <v>582</v>
      </c>
      <c r="H72" s="175" t="s">
        <v>430</v>
      </c>
      <c r="I72" s="175" t="s">
        <v>2162</v>
      </c>
      <c r="J72" s="63"/>
      <c r="K72" s="175" t="s">
        <v>433</v>
      </c>
      <c r="L72" s="175" t="s">
        <v>1678</v>
      </c>
      <c r="M72" s="175" t="s">
        <v>462</v>
      </c>
      <c r="N72" s="175" t="s">
        <v>988</v>
      </c>
      <c r="O72" s="175" t="s">
        <v>1102</v>
      </c>
      <c r="P72" s="63"/>
      <c r="Q72" s="175" t="s">
        <v>438</v>
      </c>
      <c r="R72" s="175" t="s">
        <v>1230</v>
      </c>
      <c r="S72" s="175" t="s">
        <v>582</v>
      </c>
      <c r="T72" s="175" t="s">
        <v>582</v>
      </c>
      <c r="U72" s="175" t="s">
        <v>1514</v>
      </c>
      <c r="V72" s="63"/>
      <c r="W72" s="175" t="s">
        <v>445</v>
      </c>
      <c r="X72" s="175" t="s">
        <v>433</v>
      </c>
      <c r="Y72" s="175" t="s">
        <v>1174</v>
      </c>
      <c r="Z72" s="175" t="s">
        <v>581</v>
      </c>
      <c r="AA72" s="175" t="s">
        <v>1272</v>
      </c>
      <c r="AB72" s="63"/>
      <c r="AC72" s="175" t="s">
        <v>657</v>
      </c>
      <c r="AD72" s="175" t="s">
        <v>430</v>
      </c>
      <c r="AE72" s="175" t="s">
        <v>428</v>
      </c>
      <c r="AF72" s="175" t="s">
        <v>990</v>
      </c>
      <c r="AG72" s="176" t="s">
        <v>1020</v>
      </c>
      <c r="AH72" s="63"/>
      <c r="AI72" s="175" t="s">
        <v>69</v>
      </c>
      <c r="AJ72" s="175" t="s">
        <v>438</v>
      </c>
      <c r="AK72" s="183" t="s">
        <v>442</v>
      </c>
      <c r="AL72" s="175" t="s">
        <v>436</v>
      </c>
      <c r="AM72" s="176" t="s">
        <v>195</v>
      </c>
      <c r="AN72" s="139"/>
      <c r="AO72" s="175" t="s">
        <v>247</v>
      </c>
      <c r="AP72" s="175" t="s">
        <v>47</v>
      </c>
      <c r="AQ72" s="183" t="s">
        <v>65</v>
      </c>
      <c r="AR72" s="175" t="s">
        <v>84</v>
      </c>
      <c r="AS72" s="176" t="s">
        <v>356</v>
      </c>
    </row>
    <row r="73" spans="1:45" ht="12.6" customHeight="1">
      <c r="A73" s="81" t="s">
        <v>25</v>
      </c>
      <c r="B73" s="175" t="s">
        <v>2211</v>
      </c>
      <c r="C73" s="175" t="s">
        <v>2270</v>
      </c>
      <c r="D73" s="63"/>
      <c r="E73" s="175" t="s">
        <v>1959</v>
      </c>
      <c r="F73" s="175" t="s">
        <v>2010</v>
      </c>
      <c r="G73" s="175" t="s">
        <v>2058</v>
      </c>
      <c r="H73" s="175" t="s">
        <v>2157</v>
      </c>
      <c r="I73" s="175" t="s">
        <v>2163</v>
      </c>
      <c r="J73" s="63"/>
      <c r="K73" s="175" t="s">
        <v>1619</v>
      </c>
      <c r="L73" s="175" t="s">
        <v>1679</v>
      </c>
      <c r="M73" s="175" t="s">
        <v>1778</v>
      </c>
      <c r="N73" s="175" t="s">
        <v>463</v>
      </c>
      <c r="O73" s="175" t="s">
        <v>1956</v>
      </c>
      <c r="P73" s="63"/>
      <c r="Q73" s="175" t="s">
        <v>1348</v>
      </c>
      <c r="R73" s="175" t="s">
        <v>1401</v>
      </c>
      <c r="S73" s="175" t="s">
        <v>1449</v>
      </c>
      <c r="T73" s="175" t="s">
        <v>1503</v>
      </c>
      <c r="U73" s="175" t="s">
        <v>1515</v>
      </c>
      <c r="V73" s="63"/>
      <c r="W73" s="175" t="s">
        <v>1083</v>
      </c>
      <c r="X73" s="175" t="s">
        <v>1132</v>
      </c>
      <c r="Y73" s="175" t="s">
        <v>1175</v>
      </c>
      <c r="Z73" s="175" t="s">
        <v>1237</v>
      </c>
      <c r="AA73" s="175" t="s">
        <v>1273</v>
      </c>
      <c r="AB73" s="63"/>
      <c r="AC73" s="175" t="s">
        <v>658</v>
      </c>
      <c r="AD73" s="175" t="s">
        <v>429</v>
      </c>
      <c r="AE73" s="175" t="s">
        <v>430</v>
      </c>
      <c r="AF73" s="175" t="s">
        <v>991</v>
      </c>
      <c r="AG73" s="176" t="s">
        <v>1021</v>
      </c>
      <c r="AH73" s="63"/>
      <c r="AI73" s="175" t="s">
        <v>420</v>
      </c>
      <c r="AJ73" s="175" t="s">
        <v>439</v>
      </c>
      <c r="AK73" s="183" t="s">
        <v>535</v>
      </c>
      <c r="AL73" s="175" t="s">
        <v>659</v>
      </c>
      <c r="AM73" s="176" t="s">
        <v>660</v>
      </c>
      <c r="AN73" s="179"/>
      <c r="AO73" s="175" t="s">
        <v>248</v>
      </c>
      <c r="AP73" s="175" t="s">
        <v>276</v>
      </c>
      <c r="AQ73" s="183" t="s">
        <v>357</v>
      </c>
      <c r="AR73" s="175" t="s">
        <v>278</v>
      </c>
      <c r="AS73" s="176" t="s">
        <v>358</v>
      </c>
    </row>
    <row r="74" spans="1:45" ht="12.6" customHeight="1">
      <c r="A74" s="81" t="s">
        <v>93</v>
      </c>
      <c r="B74" s="175" t="s">
        <v>2212</v>
      </c>
      <c r="C74" s="175" t="s">
        <v>657</v>
      </c>
      <c r="D74" s="63"/>
      <c r="E74" s="175" t="s">
        <v>1276</v>
      </c>
      <c r="F74" s="175" t="s">
        <v>2011</v>
      </c>
      <c r="G74" s="175" t="s">
        <v>2059</v>
      </c>
      <c r="H74" s="175" t="s">
        <v>2158</v>
      </c>
      <c r="I74" s="175" t="s">
        <v>2164</v>
      </c>
      <c r="J74" s="63"/>
      <c r="K74" s="175" t="s">
        <v>429</v>
      </c>
      <c r="L74" s="175" t="s">
        <v>1680</v>
      </c>
      <c r="M74" s="175" t="s">
        <v>583</v>
      </c>
      <c r="N74" s="175" t="s">
        <v>1880</v>
      </c>
      <c r="O74" s="175" t="s">
        <v>1957</v>
      </c>
      <c r="P74" s="63"/>
      <c r="Q74" s="175" t="s">
        <v>580</v>
      </c>
      <c r="R74" s="175" t="s">
        <v>1402</v>
      </c>
      <c r="S74" s="175" t="s">
        <v>440</v>
      </c>
      <c r="T74" s="175" t="s">
        <v>1504</v>
      </c>
      <c r="U74" s="175" t="s">
        <v>1516</v>
      </c>
      <c r="V74" s="63"/>
      <c r="W74" s="175" t="s">
        <v>583</v>
      </c>
      <c r="X74" s="175" t="s">
        <v>1133</v>
      </c>
      <c r="Y74" s="175" t="s">
        <v>529</v>
      </c>
      <c r="Z74" s="175" t="s">
        <v>583</v>
      </c>
      <c r="AA74" s="175" t="s">
        <v>1274</v>
      </c>
      <c r="AB74" s="63"/>
      <c r="AC74" s="175" t="s">
        <v>443</v>
      </c>
      <c r="AD74" s="175" t="s">
        <v>824</v>
      </c>
      <c r="AE74" s="175" t="s">
        <v>888</v>
      </c>
      <c r="AF74" s="175" t="s">
        <v>992</v>
      </c>
      <c r="AG74" s="176" t="s">
        <v>1022</v>
      </c>
      <c r="AH74" s="63"/>
      <c r="AI74" s="175" t="s">
        <v>308</v>
      </c>
      <c r="AJ74" s="175" t="s">
        <v>440</v>
      </c>
      <c r="AK74" s="183" t="s">
        <v>536</v>
      </c>
      <c r="AL74" s="175" t="s">
        <v>661</v>
      </c>
      <c r="AM74" s="176" t="s">
        <v>662</v>
      </c>
      <c r="AN74" s="179"/>
      <c r="AO74" s="175" t="s">
        <v>161</v>
      </c>
      <c r="AP74" s="175" t="s">
        <v>277</v>
      </c>
      <c r="AQ74" s="183" t="s">
        <v>359</v>
      </c>
      <c r="AR74" s="175" t="s">
        <v>127</v>
      </c>
      <c r="AS74" s="176" t="s">
        <v>360</v>
      </c>
    </row>
    <row r="75" spans="1:45" ht="12.6" customHeight="1">
      <c r="A75" s="177" t="s">
        <v>22</v>
      </c>
      <c r="B75" s="176" t="s">
        <v>2207</v>
      </c>
      <c r="C75" s="176" t="s">
        <v>2268</v>
      </c>
      <c r="D75" s="63"/>
      <c r="E75" s="176" t="s">
        <v>1928</v>
      </c>
      <c r="F75" s="176" t="s">
        <v>1985</v>
      </c>
      <c r="G75" s="176" t="s">
        <v>2034</v>
      </c>
      <c r="H75" s="176" t="s">
        <v>2098</v>
      </c>
      <c r="I75" s="176" t="s">
        <v>2105</v>
      </c>
      <c r="J75" s="63"/>
      <c r="K75" s="176" t="s">
        <v>1617</v>
      </c>
      <c r="L75" s="176" t="s">
        <v>1674</v>
      </c>
      <c r="M75" s="176" t="s">
        <v>1772</v>
      </c>
      <c r="N75" s="176" t="s">
        <v>1819</v>
      </c>
      <c r="O75" s="176" t="s">
        <v>1827</v>
      </c>
      <c r="P75" s="63"/>
      <c r="Q75" s="176" t="s">
        <v>1344</v>
      </c>
      <c r="R75" s="176" t="s">
        <v>1395</v>
      </c>
      <c r="S75" s="176" t="s">
        <v>1418</v>
      </c>
      <c r="T75" s="176" t="s">
        <v>1492</v>
      </c>
      <c r="U75" s="176" t="s">
        <v>1499</v>
      </c>
      <c r="V75" s="63"/>
      <c r="W75" s="176" t="s">
        <v>1061</v>
      </c>
      <c r="X75" s="176" t="s">
        <v>1106</v>
      </c>
      <c r="Y75" s="176" t="s">
        <v>1156</v>
      </c>
      <c r="Z75" s="176" t="s">
        <v>1229</v>
      </c>
      <c r="AA75" s="176" t="s">
        <v>1275</v>
      </c>
      <c r="AB75" s="63"/>
      <c r="AC75" s="176" t="s">
        <v>591</v>
      </c>
      <c r="AD75" s="176" t="s">
        <v>804</v>
      </c>
      <c r="AE75" s="176" t="s">
        <v>879</v>
      </c>
      <c r="AF75" s="176" t="s">
        <v>918</v>
      </c>
      <c r="AG75" s="176" t="s">
        <v>939</v>
      </c>
      <c r="AH75" s="63"/>
      <c r="AI75" s="176" t="s">
        <v>416</v>
      </c>
      <c r="AJ75" s="176" t="s">
        <v>441</v>
      </c>
      <c r="AK75" s="176" t="s">
        <v>528</v>
      </c>
      <c r="AL75" s="176" t="s">
        <v>592</v>
      </c>
      <c r="AM75" s="176" t="s">
        <v>593</v>
      </c>
      <c r="AN75" s="174"/>
      <c r="AO75" s="176" t="s">
        <v>244</v>
      </c>
      <c r="AP75" s="176" t="s">
        <v>271</v>
      </c>
      <c r="AQ75" s="176" t="s">
        <v>344</v>
      </c>
      <c r="AR75" s="176" t="s">
        <v>345</v>
      </c>
      <c r="AS75" s="176" t="s">
        <v>346</v>
      </c>
    </row>
    <row r="77" spans="1:45" ht="12.6" customHeight="1">
      <c r="A77" s="54" t="s">
        <v>1648</v>
      </c>
    </row>
    <row r="78" spans="1:45" ht="12.6" customHeight="1">
      <c r="AM78" s="21"/>
    </row>
    <row r="79" spans="1:45" ht="12.6" customHeight="1">
      <c r="A79" s="140"/>
      <c r="B79" s="80" t="s">
        <v>2184</v>
      </c>
      <c r="C79" s="80" t="s">
        <v>2233</v>
      </c>
      <c r="D79" s="63"/>
      <c r="E79" s="80" t="s">
        <v>1914</v>
      </c>
      <c r="F79" s="80" t="s">
        <v>1969</v>
      </c>
      <c r="G79" s="80" t="s">
        <v>2020</v>
      </c>
      <c r="H79" s="80" t="s">
        <v>2069</v>
      </c>
      <c r="I79" s="80" t="s">
        <v>54</v>
      </c>
      <c r="J79" s="63"/>
      <c r="K79" s="80" t="s">
        <v>1589</v>
      </c>
      <c r="L79" s="80" t="s">
        <v>1661</v>
      </c>
      <c r="M79" s="80" t="s">
        <v>1728</v>
      </c>
      <c r="N79" s="80" t="s">
        <v>1785</v>
      </c>
      <c r="O79" s="80" t="s">
        <v>54</v>
      </c>
      <c r="P79" s="63"/>
      <c r="Q79" s="80" t="s">
        <v>1310</v>
      </c>
      <c r="R79" s="80" t="s">
        <v>1366</v>
      </c>
      <c r="S79" s="80" t="s">
        <v>1404</v>
      </c>
      <c r="T79" s="80" t="s">
        <v>1467</v>
      </c>
      <c r="U79" s="80" t="s">
        <v>54</v>
      </c>
      <c r="V79" s="63"/>
      <c r="W79" s="80" t="s">
        <v>1048</v>
      </c>
      <c r="X79" s="80" t="s">
        <v>1094</v>
      </c>
      <c r="Y79" s="80" t="s">
        <v>1142</v>
      </c>
      <c r="Z79" s="80" t="s">
        <v>1194</v>
      </c>
      <c r="AA79" s="80" t="s">
        <v>54</v>
      </c>
      <c r="AB79" s="63"/>
      <c r="AC79" s="80" t="s">
        <v>565</v>
      </c>
      <c r="AD79" s="80" t="s">
        <v>788</v>
      </c>
      <c r="AE79" s="80" t="s">
        <v>825</v>
      </c>
      <c r="AF79" s="80" t="s">
        <v>900</v>
      </c>
      <c r="AG79" s="173" t="s">
        <v>54</v>
      </c>
      <c r="AH79" s="63"/>
      <c r="AI79" s="80" t="s">
        <v>404</v>
      </c>
      <c r="AJ79" s="80" t="s">
        <v>405</v>
      </c>
      <c r="AK79" s="80" t="s">
        <v>406</v>
      </c>
      <c r="AL79" s="80" t="s">
        <v>407</v>
      </c>
      <c r="AM79" s="173" t="s">
        <v>54</v>
      </c>
      <c r="AN79" s="179"/>
      <c r="AO79" s="80" t="s">
        <v>232</v>
      </c>
      <c r="AP79" s="80" t="s">
        <v>233</v>
      </c>
      <c r="AQ79" s="80" t="s">
        <v>234</v>
      </c>
      <c r="AR79" s="80" t="s">
        <v>235</v>
      </c>
      <c r="AS79" s="173" t="s">
        <v>54</v>
      </c>
    </row>
    <row r="80" spans="1:45" ht="12.6" customHeight="1">
      <c r="A80" s="81" t="s">
        <v>24</v>
      </c>
      <c r="B80" s="175" t="s">
        <v>80</v>
      </c>
      <c r="C80" s="175" t="s">
        <v>218</v>
      </c>
      <c r="D80" s="63"/>
      <c r="E80" s="175" t="s">
        <v>243</v>
      </c>
      <c r="F80" s="175" t="s">
        <v>497</v>
      </c>
      <c r="G80" s="175" t="s">
        <v>63</v>
      </c>
      <c r="H80" s="175" t="s">
        <v>161</v>
      </c>
      <c r="I80" s="175" t="s">
        <v>1472</v>
      </c>
      <c r="J80" s="63"/>
      <c r="K80" s="175" t="s">
        <v>243</v>
      </c>
      <c r="L80" s="175" t="s">
        <v>80</v>
      </c>
      <c r="M80" s="175" t="s">
        <v>84</v>
      </c>
      <c r="N80" s="175" t="s">
        <v>86</v>
      </c>
      <c r="O80" s="175" t="s">
        <v>1388</v>
      </c>
      <c r="P80" s="63"/>
      <c r="Q80" s="175" t="s">
        <v>243</v>
      </c>
      <c r="R80" s="175" t="s">
        <v>82</v>
      </c>
      <c r="S80" s="175" t="s">
        <v>63</v>
      </c>
      <c r="T80" s="175" t="s">
        <v>65</v>
      </c>
      <c r="U80" s="175" t="s">
        <v>1239</v>
      </c>
      <c r="V80" s="63"/>
      <c r="W80" s="175" t="s">
        <v>63</v>
      </c>
      <c r="X80" s="175" t="s">
        <v>132</v>
      </c>
      <c r="Y80" s="175" t="s">
        <v>80</v>
      </c>
      <c r="Z80" s="175" t="s">
        <v>84</v>
      </c>
      <c r="AA80" s="175" t="s">
        <v>1276</v>
      </c>
      <c r="AB80" s="63"/>
      <c r="AC80" s="175" t="s">
        <v>161</v>
      </c>
      <c r="AD80" s="175" t="s">
        <v>797</v>
      </c>
      <c r="AE80" s="175" t="s">
        <v>113</v>
      </c>
      <c r="AF80" s="175" t="s">
        <v>993</v>
      </c>
      <c r="AG80" s="176" t="s">
        <v>1023</v>
      </c>
      <c r="AH80" s="63"/>
      <c r="AI80" s="175" t="s">
        <v>69</v>
      </c>
      <c r="AJ80" s="175" t="s">
        <v>473</v>
      </c>
      <c r="AK80" s="175" t="s">
        <v>81</v>
      </c>
      <c r="AL80" s="175" t="s">
        <v>69</v>
      </c>
      <c r="AM80" s="176" t="s">
        <v>713</v>
      </c>
      <c r="AN80" s="174"/>
      <c r="AO80" s="175" t="s">
        <v>69</v>
      </c>
      <c r="AP80" s="175" t="s">
        <v>108</v>
      </c>
      <c r="AQ80" s="183" t="s">
        <v>85</v>
      </c>
      <c r="AR80" s="175" t="s">
        <v>65</v>
      </c>
      <c r="AS80" s="176" t="s">
        <v>250</v>
      </c>
    </row>
    <row r="81" spans="1:45" ht="12.6" customHeight="1">
      <c r="A81" s="81" t="s">
        <v>35</v>
      </c>
      <c r="B81" s="175" t="s">
        <v>47</v>
      </c>
      <c r="C81" s="175" t="s">
        <v>52</v>
      </c>
      <c r="D81" s="63"/>
      <c r="E81" s="175" t="s">
        <v>194</v>
      </c>
      <c r="F81" s="175" t="s">
        <v>46</v>
      </c>
      <c r="G81" s="175" t="s">
        <v>46</v>
      </c>
      <c r="H81" s="175" t="s">
        <v>47</v>
      </c>
      <c r="I81" s="175" t="s">
        <v>2166</v>
      </c>
      <c r="J81" s="63"/>
      <c r="K81" s="175" t="s">
        <v>46</v>
      </c>
      <c r="L81" s="175" t="s">
        <v>65</v>
      </c>
      <c r="M81" s="175" t="s">
        <v>69</v>
      </c>
      <c r="N81" s="175" t="s">
        <v>64</v>
      </c>
      <c r="O81" s="175" t="s">
        <v>1166</v>
      </c>
      <c r="P81" s="63"/>
      <c r="Q81" s="175" t="s">
        <v>47</v>
      </c>
      <c r="R81" s="175" t="s">
        <v>46</v>
      </c>
      <c r="S81" s="175" t="s">
        <v>46</v>
      </c>
      <c r="T81" s="175" t="s">
        <v>69</v>
      </c>
      <c r="U81" s="175" t="s">
        <v>65</v>
      </c>
      <c r="V81" s="63"/>
      <c r="W81" s="175" t="s">
        <v>46</v>
      </c>
      <c r="X81" s="175" t="s">
        <v>83</v>
      </c>
      <c r="Y81" s="175" t="s">
        <v>46</v>
      </c>
      <c r="Z81" s="175" t="s">
        <v>46</v>
      </c>
      <c r="AA81" s="175" t="s">
        <v>1277</v>
      </c>
      <c r="AB81" s="63"/>
      <c r="AC81" s="175" t="s">
        <v>46</v>
      </c>
      <c r="AD81" s="175" t="s">
        <v>834</v>
      </c>
      <c r="AE81" s="175" t="s">
        <v>46</v>
      </c>
      <c r="AF81" s="175" t="s">
        <v>57</v>
      </c>
      <c r="AG81" s="176" t="s">
        <v>1024</v>
      </c>
      <c r="AH81" s="63"/>
      <c r="AI81" s="175" t="s">
        <v>46</v>
      </c>
      <c r="AJ81" s="175" t="s">
        <v>46</v>
      </c>
      <c r="AK81" s="175" t="s">
        <v>46</v>
      </c>
      <c r="AL81" s="175" t="s">
        <v>46</v>
      </c>
      <c r="AM81" s="176" t="s">
        <v>46</v>
      </c>
      <c r="AN81" s="139"/>
      <c r="AO81" s="175" t="s">
        <v>46</v>
      </c>
      <c r="AP81" s="175" t="s">
        <v>65</v>
      </c>
      <c r="AQ81" s="183" t="s">
        <v>46</v>
      </c>
      <c r="AR81" s="175" t="s">
        <v>46</v>
      </c>
      <c r="AS81" s="176" t="s">
        <v>65</v>
      </c>
    </row>
    <row r="82" spans="1:45" ht="12.6" customHeight="1">
      <c r="A82" s="81" t="s">
        <v>93</v>
      </c>
      <c r="B82" s="175" t="s">
        <v>1187</v>
      </c>
      <c r="C82" s="175" t="s">
        <v>69</v>
      </c>
      <c r="D82" s="63"/>
      <c r="E82" s="175" t="s">
        <v>1877</v>
      </c>
      <c r="F82" s="175" t="s">
        <v>195</v>
      </c>
      <c r="G82" s="175" t="s">
        <v>2060</v>
      </c>
      <c r="H82" s="175" t="s">
        <v>82</v>
      </c>
      <c r="I82" s="175" t="s">
        <v>679</v>
      </c>
      <c r="J82" s="63"/>
      <c r="K82" s="175" t="s">
        <v>67</v>
      </c>
      <c r="L82" s="175" t="s">
        <v>250</v>
      </c>
      <c r="M82" s="175" t="s">
        <v>65</v>
      </c>
      <c r="N82" s="175" t="s">
        <v>63</v>
      </c>
      <c r="O82" s="175" t="s">
        <v>1884</v>
      </c>
      <c r="P82" s="63"/>
      <c r="Q82" s="175" t="s">
        <v>196</v>
      </c>
      <c r="R82" s="175" t="s">
        <v>63</v>
      </c>
      <c r="S82" s="175" t="s">
        <v>310</v>
      </c>
      <c r="T82" s="175" t="s">
        <v>1419</v>
      </c>
      <c r="U82" s="175" t="s">
        <v>1535</v>
      </c>
      <c r="V82" s="63"/>
      <c r="W82" s="175" t="s">
        <v>86</v>
      </c>
      <c r="X82" s="175" t="s">
        <v>46</v>
      </c>
      <c r="Y82" s="175" t="s">
        <v>69</v>
      </c>
      <c r="Z82" s="175" t="s">
        <v>97</v>
      </c>
      <c r="AA82" s="175" t="s">
        <v>1278</v>
      </c>
      <c r="AB82" s="63"/>
      <c r="AC82" s="175" t="s">
        <v>51</v>
      </c>
      <c r="AD82" s="175" t="s">
        <v>835</v>
      </c>
      <c r="AE82" s="175" t="s">
        <v>52</v>
      </c>
      <c r="AF82" s="175" t="s">
        <v>51</v>
      </c>
      <c r="AG82" s="176" t="s">
        <v>1026</v>
      </c>
      <c r="AH82" s="63"/>
      <c r="AI82" s="175" t="s">
        <v>47</v>
      </c>
      <c r="AJ82" s="175" t="s">
        <v>77</v>
      </c>
      <c r="AK82" s="175" t="s">
        <v>708</v>
      </c>
      <c r="AL82" s="175" t="s">
        <v>57</v>
      </c>
      <c r="AM82" s="176" t="s">
        <v>730</v>
      </c>
      <c r="AN82" s="174"/>
      <c r="AO82" s="175" t="s">
        <v>195</v>
      </c>
      <c r="AP82" s="175" t="s">
        <v>132</v>
      </c>
      <c r="AQ82" s="183" t="s">
        <v>325</v>
      </c>
      <c r="AR82" s="175" t="s">
        <v>490</v>
      </c>
      <c r="AS82" s="176" t="s">
        <v>501</v>
      </c>
    </row>
    <row r="83" spans="1:45" ht="12.6" customHeight="1">
      <c r="A83" s="81" t="s">
        <v>39</v>
      </c>
      <c r="B83" s="175" t="s">
        <v>2223</v>
      </c>
      <c r="C83" s="175" t="s">
        <v>2262</v>
      </c>
      <c r="D83" s="63"/>
      <c r="E83" s="175" t="s">
        <v>1960</v>
      </c>
      <c r="F83" s="175" t="s">
        <v>2012</v>
      </c>
      <c r="G83" s="175" t="s">
        <v>2061</v>
      </c>
      <c r="H83" s="175" t="s">
        <v>1862</v>
      </c>
      <c r="I83" s="175" t="s">
        <v>2167</v>
      </c>
      <c r="J83" s="63"/>
      <c r="K83" s="175" t="s">
        <v>108</v>
      </c>
      <c r="L83" s="175" t="s">
        <v>1698</v>
      </c>
      <c r="M83" s="175" t="s">
        <v>1758</v>
      </c>
      <c r="N83" s="175" t="s">
        <v>46</v>
      </c>
      <c r="O83" s="175" t="s">
        <v>1882</v>
      </c>
      <c r="P83" s="63"/>
      <c r="Q83" s="175" t="s">
        <v>1354</v>
      </c>
      <c r="R83" s="175" t="s">
        <v>108</v>
      </c>
      <c r="S83" s="175" t="s">
        <v>1450</v>
      </c>
      <c r="T83" s="175" t="s">
        <v>1239</v>
      </c>
      <c r="U83" s="175" t="s">
        <v>1536</v>
      </c>
      <c r="V83" s="63"/>
      <c r="W83" s="175" t="s">
        <v>243</v>
      </c>
      <c r="X83" s="175" t="s">
        <v>1134</v>
      </c>
      <c r="Y83" s="175" t="s">
        <v>1157</v>
      </c>
      <c r="Z83" s="175" t="s">
        <v>1243</v>
      </c>
      <c r="AA83" s="175" t="s">
        <v>1279</v>
      </c>
      <c r="AB83" s="63"/>
      <c r="AC83" s="175" t="s">
        <v>51</v>
      </c>
      <c r="AD83" s="175" t="s">
        <v>836</v>
      </c>
      <c r="AE83" s="175" t="s">
        <v>893</v>
      </c>
      <c r="AF83" s="175" t="s">
        <v>127</v>
      </c>
      <c r="AG83" s="176" t="s">
        <v>1025</v>
      </c>
      <c r="AH83" s="63"/>
      <c r="AI83" s="175" t="s">
        <v>260</v>
      </c>
      <c r="AJ83" s="175" t="s">
        <v>108</v>
      </c>
      <c r="AK83" s="175" t="s">
        <v>179</v>
      </c>
      <c r="AL83" s="175" t="s">
        <v>560</v>
      </c>
      <c r="AM83" s="176" t="s">
        <v>731</v>
      </c>
      <c r="AN83" s="139"/>
      <c r="AO83" s="175" t="s">
        <v>260</v>
      </c>
      <c r="AP83" s="175" t="s">
        <v>291</v>
      </c>
      <c r="AQ83" s="183" t="s">
        <v>326</v>
      </c>
      <c r="AR83" s="175" t="s">
        <v>491</v>
      </c>
      <c r="AS83" s="176" t="s">
        <v>502</v>
      </c>
    </row>
    <row r="84" spans="1:45" ht="12.6" customHeight="1">
      <c r="A84" s="81" t="s">
        <v>8</v>
      </c>
      <c r="B84" s="175" t="s">
        <v>67</v>
      </c>
      <c r="C84" s="175" t="s">
        <v>51</v>
      </c>
      <c r="D84" s="63"/>
      <c r="E84" s="175" t="s">
        <v>46</v>
      </c>
      <c r="F84" s="175" t="s">
        <v>132</v>
      </c>
      <c r="G84" s="175" t="s">
        <v>249</v>
      </c>
      <c r="H84" s="175" t="s">
        <v>2165</v>
      </c>
      <c r="I84" s="175" t="s">
        <v>2168</v>
      </c>
      <c r="J84" s="63"/>
      <c r="K84" s="175" t="s">
        <v>831</v>
      </c>
      <c r="L84" s="175" t="s">
        <v>67</v>
      </c>
      <c r="M84" s="175" t="s">
        <v>53</v>
      </c>
      <c r="N84" s="175" t="s">
        <v>1881</v>
      </c>
      <c r="O84" s="175" t="s">
        <v>1883</v>
      </c>
      <c r="P84" s="63"/>
      <c r="Q84" s="175" t="s">
        <v>1355</v>
      </c>
      <c r="R84" s="175" t="s">
        <v>81</v>
      </c>
      <c r="S84" s="175" t="s">
        <v>132</v>
      </c>
      <c r="T84" s="175" t="s">
        <v>1517</v>
      </c>
      <c r="U84" s="175" t="s">
        <v>1537</v>
      </c>
      <c r="V84" s="63"/>
      <c r="W84" s="175" t="s">
        <v>46</v>
      </c>
      <c r="X84" s="175" t="s">
        <v>797</v>
      </c>
      <c r="Y84" s="175" t="s">
        <v>52</v>
      </c>
      <c r="Z84" s="175" t="s">
        <v>51</v>
      </c>
      <c r="AA84" s="175" t="s">
        <v>1280</v>
      </c>
      <c r="AB84" s="63"/>
      <c r="AC84" s="175" t="s">
        <v>704</v>
      </c>
      <c r="AD84" s="175" t="s">
        <v>837</v>
      </c>
      <c r="AE84" s="175" t="s">
        <v>46</v>
      </c>
      <c r="AF84" s="175" t="s">
        <v>816</v>
      </c>
      <c r="AG84" s="176" t="s">
        <v>1027</v>
      </c>
      <c r="AH84" s="63"/>
      <c r="AI84" s="175" t="s">
        <v>52</v>
      </c>
      <c r="AJ84" s="175" t="s">
        <v>164</v>
      </c>
      <c r="AK84" s="175" t="s">
        <v>52</v>
      </c>
      <c r="AL84" s="175" t="s">
        <v>52</v>
      </c>
      <c r="AM84" s="176" t="s">
        <v>96</v>
      </c>
      <c r="AN84" s="174"/>
      <c r="AO84" s="175" t="s">
        <v>261</v>
      </c>
      <c r="AP84" s="175" t="s">
        <v>186</v>
      </c>
      <c r="AQ84" s="183" t="s">
        <v>52</v>
      </c>
      <c r="AR84" s="175" t="s">
        <v>492</v>
      </c>
      <c r="AS84" s="176" t="s">
        <v>503</v>
      </c>
    </row>
    <row r="85" spans="1:45" ht="12.6" customHeight="1">
      <c r="A85" s="81" t="s">
        <v>40</v>
      </c>
      <c r="B85" s="175" t="s">
        <v>625</v>
      </c>
      <c r="C85" s="175" t="s">
        <v>178</v>
      </c>
      <c r="D85" s="63"/>
      <c r="E85" s="175" t="s">
        <v>1134</v>
      </c>
      <c r="F85" s="175" t="s">
        <v>472</v>
      </c>
      <c r="G85" s="175" t="s">
        <v>458</v>
      </c>
      <c r="H85" s="175" t="s">
        <v>113</v>
      </c>
      <c r="I85" s="175" t="s">
        <v>2169</v>
      </c>
      <c r="J85" s="63"/>
      <c r="K85" s="175" t="s">
        <v>585</v>
      </c>
      <c r="L85" s="175" t="s">
        <v>1699</v>
      </c>
      <c r="M85" s="175" t="s">
        <v>1754</v>
      </c>
      <c r="N85" s="175" t="s">
        <v>64</v>
      </c>
      <c r="O85" s="175" t="s">
        <v>1885</v>
      </c>
      <c r="P85" s="63"/>
      <c r="Q85" s="175" t="s">
        <v>1356</v>
      </c>
      <c r="R85" s="175" t="s">
        <v>356</v>
      </c>
      <c r="S85" s="175" t="s">
        <v>1451</v>
      </c>
      <c r="T85" s="175" t="s">
        <v>1518</v>
      </c>
      <c r="U85" s="175" t="s">
        <v>1538</v>
      </c>
      <c r="V85" s="63"/>
      <c r="W85" s="175" t="s">
        <v>83</v>
      </c>
      <c r="X85" s="175" t="s">
        <v>423</v>
      </c>
      <c r="Y85" s="175" t="s">
        <v>1158</v>
      </c>
      <c r="Z85" s="175" t="s">
        <v>1244</v>
      </c>
      <c r="AA85" s="175" t="s">
        <v>1281</v>
      </c>
      <c r="AB85" s="63"/>
      <c r="AC85" s="175" t="s">
        <v>705</v>
      </c>
      <c r="AD85" s="175" t="s">
        <v>838</v>
      </c>
      <c r="AE85" s="175" t="s">
        <v>894</v>
      </c>
      <c r="AF85" s="175" t="s">
        <v>994</v>
      </c>
      <c r="AG85" s="176" t="s">
        <v>1028</v>
      </c>
      <c r="AH85" s="63"/>
      <c r="AI85" s="175" t="s">
        <v>474</v>
      </c>
      <c r="AJ85" s="175" t="s">
        <v>274</v>
      </c>
      <c r="AK85" s="175" t="s">
        <v>623</v>
      </c>
      <c r="AL85" s="175" t="s">
        <v>709</v>
      </c>
      <c r="AM85" s="176" t="s">
        <v>732</v>
      </c>
      <c r="AN85" s="174"/>
      <c r="AO85" s="175" t="s">
        <v>262</v>
      </c>
      <c r="AP85" s="175" t="s">
        <v>292</v>
      </c>
      <c r="AQ85" s="183" t="s">
        <v>196</v>
      </c>
      <c r="AR85" s="175" t="s">
        <v>493</v>
      </c>
      <c r="AS85" s="176" t="s">
        <v>504</v>
      </c>
    </row>
    <row r="86" spans="1:45" ht="12.6" customHeight="1">
      <c r="A86" s="81" t="s">
        <v>55</v>
      </c>
      <c r="B86" s="175" t="s">
        <v>1867</v>
      </c>
      <c r="C86" s="175" t="s">
        <v>2263</v>
      </c>
      <c r="D86" s="63"/>
      <c r="E86" s="175" t="s">
        <v>65</v>
      </c>
      <c r="F86" s="175" t="s">
        <v>1978</v>
      </c>
      <c r="G86" s="175" t="s">
        <v>53</v>
      </c>
      <c r="H86" s="175" t="s">
        <v>81</v>
      </c>
      <c r="I86" s="175" t="s">
        <v>2170</v>
      </c>
      <c r="J86" s="63"/>
      <c r="K86" s="175" t="s">
        <v>113</v>
      </c>
      <c r="L86" s="175" t="s">
        <v>80</v>
      </c>
      <c r="M86" s="175" t="s">
        <v>1759</v>
      </c>
      <c r="N86" s="175" t="s">
        <v>1611</v>
      </c>
      <c r="O86" s="175" t="s">
        <v>705</v>
      </c>
      <c r="P86" s="63"/>
      <c r="Q86" s="175" t="s">
        <v>1357</v>
      </c>
      <c r="R86" s="175" t="s">
        <v>1452</v>
      </c>
      <c r="S86" s="175" t="s">
        <v>1453</v>
      </c>
      <c r="T86" s="175" t="s">
        <v>1163</v>
      </c>
      <c r="U86" s="175" t="s">
        <v>1539</v>
      </c>
      <c r="V86" s="63"/>
      <c r="W86" s="175" t="s">
        <v>46</v>
      </c>
      <c r="X86" s="175" t="s">
        <v>51</v>
      </c>
      <c r="Y86" s="175" t="s">
        <v>1159</v>
      </c>
      <c r="Z86" s="175" t="s">
        <v>1245</v>
      </c>
      <c r="AA86" s="175" t="s">
        <v>1282</v>
      </c>
      <c r="AB86" s="63"/>
      <c r="AC86" s="175" t="s">
        <v>706</v>
      </c>
      <c r="AD86" s="175" t="s">
        <v>839</v>
      </c>
      <c r="AE86" s="175" t="s">
        <v>96</v>
      </c>
      <c r="AF86" s="175" t="s">
        <v>995</v>
      </c>
      <c r="AG86" s="176" t="s">
        <v>1029</v>
      </c>
      <c r="AH86" s="63"/>
      <c r="AI86" s="175" t="s">
        <v>475</v>
      </c>
      <c r="AJ86" s="175" t="s">
        <v>82</v>
      </c>
      <c r="AK86" s="175" t="s">
        <v>69</v>
      </c>
      <c r="AL86" s="175" t="s">
        <v>710</v>
      </c>
      <c r="AM86" s="176" t="s">
        <v>733</v>
      </c>
      <c r="AN86" s="139"/>
      <c r="AO86" s="175" t="s">
        <v>263</v>
      </c>
      <c r="AP86" s="175" t="s">
        <v>86</v>
      </c>
      <c r="AQ86" s="183" t="s">
        <v>243</v>
      </c>
      <c r="AR86" s="175" t="s">
        <v>131</v>
      </c>
      <c r="AS86" s="176" t="s">
        <v>505</v>
      </c>
    </row>
    <row r="87" spans="1:45" ht="12.6" customHeight="1">
      <c r="A87" s="81" t="s">
        <v>94</v>
      </c>
      <c r="B87" s="175" t="s">
        <v>391</v>
      </c>
      <c r="C87" s="175" t="s">
        <v>333</v>
      </c>
      <c r="D87" s="63"/>
      <c r="E87" s="175" t="s">
        <v>47</v>
      </c>
      <c r="F87" s="175" t="s">
        <v>65</v>
      </c>
      <c r="G87" s="175" t="s">
        <v>67</v>
      </c>
      <c r="H87" s="175" t="s">
        <v>863</v>
      </c>
      <c r="I87" s="175" t="s">
        <v>133</v>
      </c>
      <c r="J87" s="63"/>
      <c r="K87" s="175" t="s">
        <v>69</v>
      </c>
      <c r="L87" s="175" t="s">
        <v>84</v>
      </c>
      <c r="M87" s="175" t="s">
        <v>1760</v>
      </c>
      <c r="N87" s="175" t="s">
        <v>78</v>
      </c>
      <c r="O87" s="175" t="s">
        <v>587</v>
      </c>
      <c r="P87" s="63"/>
      <c r="Q87" s="175" t="s">
        <v>57</v>
      </c>
      <c r="R87" s="175" t="s">
        <v>132</v>
      </c>
      <c r="S87" s="175" t="s">
        <v>217</v>
      </c>
      <c r="T87" s="175" t="s">
        <v>65</v>
      </c>
      <c r="U87" s="175" t="s">
        <v>734</v>
      </c>
      <c r="V87" s="63"/>
      <c r="W87" s="175" t="s">
        <v>46</v>
      </c>
      <c r="X87" s="175" t="s">
        <v>46</v>
      </c>
      <c r="Y87" s="175" t="s">
        <v>1160</v>
      </c>
      <c r="Z87" s="175" t="s">
        <v>67</v>
      </c>
      <c r="AA87" s="175" t="s">
        <v>1283</v>
      </c>
      <c r="AB87" s="63"/>
      <c r="AC87" s="175" t="s">
        <v>173</v>
      </c>
      <c r="AD87" s="175" t="s">
        <v>53</v>
      </c>
      <c r="AE87" s="175" t="s">
        <v>46</v>
      </c>
      <c r="AF87" s="175" t="s">
        <v>834</v>
      </c>
      <c r="AG87" s="176" t="s">
        <v>1030</v>
      </c>
      <c r="AH87" s="63"/>
      <c r="AI87" s="175" t="s">
        <v>173</v>
      </c>
      <c r="AJ87" s="175" t="s">
        <v>132</v>
      </c>
      <c r="AK87" s="175" t="s">
        <v>46</v>
      </c>
      <c r="AL87" s="175" t="s">
        <v>613</v>
      </c>
      <c r="AM87" s="176" t="s">
        <v>734</v>
      </c>
      <c r="AN87" s="139"/>
      <c r="AO87" s="175" t="s">
        <v>161</v>
      </c>
      <c r="AP87" s="175" t="s">
        <v>69</v>
      </c>
      <c r="AQ87" s="183" t="s">
        <v>161</v>
      </c>
      <c r="AR87" s="175" t="s">
        <v>67</v>
      </c>
      <c r="AS87" s="176" t="s">
        <v>495</v>
      </c>
    </row>
    <row r="88" spans="1:45" ht="12.6" customHeight="1">
      <c r="A88" s="177" t="s">
        <v>22</v>
      </c>
      <c r="B88" s="176" t="s">
        <v>2220</v>
      </c>
      <c r="C88" s="176" t="s">
        <v>2260</v>
      </c>
      <c r="D88" s="63"/>
      <c r="E88" s="176" t="s">
        <v>1930</v>
      </c>
      <c r="F88" s="176" t="s">
        <v>1987</v>
      </c>
      <c r="G88" s="176" t="s">
        <v>2037</v>
      </c>
      <c r="H88" s="176" t="s">
        <v>2106</v>
      </c>
      <c r="I88" s="176" t="s">
        <v>2112</v>
      </c>
      <c r="J88" s="63"/>
      <c r="K88" s="176" t="s">
        <v>1622</v>
      </c>
      <c r="L88" s="176" t="s">
        <v>1700</v>
      </c>
      <c r="M88" s="176" t="s">
        <v>1756</v>
      </c>
      <c r="N88" s="176" t="s">
        <v>1830</v>
      </c>
      <c r="O88" s="176" t="s">
        <v>1836</v>
      </c>
      <c r="P88" s="63"/>
      <c r="Q88" s="176" t="s">
        <v>1352</v>
      </c>
      <c r="R88" s="176" t="s">
        <v>870</v>
      </c>
      <c r="S88" s="176" t="s">
        <v>1423</v>
      </c>
      <c r="T88" s="176" t="s">
        <v>1519</v>
      </c>
      <c r="U88" s="176" t="s">
        <v>1540</v>
      </c>
      <c r="V88" s="63"/>
      <c r="W88" s="176" t="s">
        <v>1084</v>
      </c>
      <c r="X88" s="176" t="s">
        <v>1109</v>
      </c>
      <c r="Y88" s="176" t="s">
        <v>1161</v>
      </c>
      <c r="Z88" s="176" t="s">
        <v>1241</v>
      </c>
      <c r="AA88" s="176" t="s">
        <v>1284</v>
      </c>
      <c r="AB88" s="63"/>
      <c r="AC88" s="176" t="s">
        <v>707</v>
      </c>
      <c r="AD88" s="176" t="s">
        <v>832</v>
      </c>
      <c r="AE88" s="176" t="s">
        <v>891</v>
      </c>
      <c r="AF88" s="176" t="s">
        <v>922</v>
      </c>
      <c r="AG88" s="176" t="s">
        <v>931</v>
      </c>
      <c r="AH88" s="63"/>
      <c r="AI88" s="176" t="s">
        <v>476</v>
      </c>
      <c r="AJ88" s="176" t="s">
        <v>477</v>
      </c>
      <c r="AK88" s="176" t="s">
        <v>711</v>
      </c>
      <c r="AL88" s="176" t="s">
        <v>712</v>
      </c>
      <c r="AM88" s="176" t="s">
        <v>735</v>
      </c>
      <c r="AN88" s="179"/>
      <c r="AO88" s="176" t="s">
        <v>258</v>
      </c>
      <c r="AP88" s="176" t="s">
        <v>289</v>
      </c>
      <c r="AQ88" s="184" t="s">
        <v>327</v>
      </c>
      <c r="AR88" s="176" t="s">
        <v>494</v>
      </c>
      <c r="AS88" s="176" t="s">
        <v>506</v>
      </c>
    </row>
    <row r="90" spans="1:45" ht="12.6" customHeight="1">
      <c r="A90" s="54" t="s">
        <v>1649</v>
      </c>
    </row>
    <row r="92" spans="1:45" ht="12.6" customHeight="1">
      <c r="A92" s="140"/>
      <c r="B92" s="80" t="s">
        <v>2184</v>
      </c>
      <c r="C92" s="80" t="s">
        <v>2233</v>
      </c>
      <c r="D92" s="63"/>
      <c r="E92" s="80" t="s">
        <v>1914</v>
      </c>
      <c r="F92" s="80" t="s">
        <v>1969</v>
      </c>
      <c r="G92" s="80" t="s">
        <v>2020</v>
      </c>
      <c r="H92" s="80" t="s">
        <v>2069</v>
      </c>
      <c r="I92" s="80" t="s">
        <v>54</v>
      </c>
      <c r="J92" s="63"/>
      <c r="K92" s="80" t="s">
        <v>1589</v>
      </c>
      <c r="L92" s="80" t="s">
        <v>1661</v>
      </c>
      <c r="M92" s="80" t="s">
        <v>1728</v>
      </c>
      <c r="N92" s="80" t="s">
        <v>1785</v>
      </c>
      <c r="O92" s="80" t="s">
        <v>54</v>
      </c>
      <c r="P92" s="63"/>
      <c r="Q92" s="80" t="s">
        <v>1310</v>
      </c>
      <c r="R92" s="80" t="s">
        <v>1366</v>
      </c>
      <c r="S92" s="80" t="s">
        <v>1404</v>
      </c>
      <c r="T92" s="80" t="s">
        <v>1467</v>
      </c>
      <c r="U92" s="80" t="s">
        <v>54</v>
      </c>
      <c r="V92" s="63"/>
      <c r="W92" s="80" t="s">
        <v>1048</v>
      </c>
      <c r="X92" s="80" t="s">
        <v>1094</v>
      </c>
      <c r="Y92" s="80" t="s">
        <v>1142</v>
      </c>
      <c r="Z92" s="80" t="s">
        <v>1194</v>
      </c>
      <c r="AA92" s="80" t="s">
        <v>54</v>
      </c>
      <c r="AB92" s="63"/>
      <c r="AC92" s="80" t="s">
        <v>565</v>
      </c>
      <c r="AD92" s="80" t="s">
        <v>788</v>
      </c>
      <c r="AE92" s="80" t="s">
        <v>825</v>
      </c>
      <c r="AF92" s="80" t="s">
        <v>900</v>
      </c>
      <c r="AG92" s="173" t="s">
        <v>54</v>
      </c>
      <c r="AH92" s="63"/>
      <c r="AI92" s="80" t="s">
        <v>404</v>
      </c>
      <c r="AJ92" s="80" t="s">
        <v>405</v>
      </c>
      <c r="AK92" s="80" t="s">
        <v>406</v>
      </c>
      <c r="AL92" s="80" t="s">
        <v>407</v>
      </c>
      <c r="AM92" s="173" t="s">
        <v>54</v>
      </c>
      <c r="AN92" s="179"/>
      <c r="AO92" s="80" t="s">
        <v>232</v>
      </c>
      <c r="AP92" s="80" t="s">
        <v>233</v>
      </c>
      <c r="AQ92" s="80" t="s">
        <v>234</v>
      </c>
      <c r="AR92" s="80" t="s">
        <v>235</v>
      </c>
      <c r="AS92" s="173" t="s">
        <v>54</v>
      </c>
    </row>
    <row r="93" spans="1:45" ht="12.6" customHeight="1">
      <c r="A93" s="81" t="s">
        <v>24</v>
      </c>
      <c r="B93" s="175" t="s">
        <v>2224</v>
      </c>
      <c r="C93" s="175" t="s">
        <v>131</v>
      </c>
      <c r="D93" s="63"/>
      <c r="E93" s="175" t="s">
        <v>247</v>
      </c>
      <c r="F93" s="175" t="s">
        <v>1454</v>
      </c>
      <c r="G93" s="175" t="s">
        <v>2062</v>
      </c>
      <c r="H93" s="175" t="s">
        <v>247</v>
      </c>
      <c r="I93" s="175" t="s">
        <v>2171</v>
      </c>
      <c r="J93" s="63"/>
      <c r="K93" s="175" t="s">
        <v>356</v>
      </c>
      <c r="L93" s="175" t="s">
        <v>243</v>
      </c>
      <c r="M93" s="175" t="s">
        <v>1454</v>
      </c>
      <c r="N93" s="175" t="s">
        <v>1886</v>
      </c>
      <c r="O93" s="175" t="s">
        <v>1892</v>
      </c>
      <c r="P93" s="63"/>
      <c r="Q93" s="175" t="s">
        <v>1358</v>
      </c>
      <c r="R93" s="175" t="s">
        <v>131</v>
      </c>
      <c r="S93" s="175" t="s">
        <v>1454</v>
      </c>
      <c r="T93" s="175" t="s">
        <v>264</v>
      </c>
      <c r="U93" s="175" t="s">
        <v>1527</v>
      </c>
      <c r="V93" s="63"/>
      <c r="W93" s="175" t="s">
        <v>239</v>
      </c>
      <c r="X93" s="175" t="s">
        <v>613</v>
      </c>
      <c r="Y93" s="175" t="s">
        <v>1166</v>
      </c>
      <c r="Z93" s="175" t="s">
        <v>1246</v>
      </c>
      <c r="AA93" s="175" t="s">
        <v>1285</v>
      </c>
      <c r="AB93" s="63"/>
      <c r="AC93" s="175" t="s">
        <v>64</v>
      </c>
      <c r="AD93" s="175" t="s">
        <v>840</v>
      </c>
      <c r="AE93" s="175" t="s">
        <v>97</v>
      </c>
      <c r="AF93" s="175" t="s">
        <v>84</v>
      </c>
      <c r="AG93" s="176" t="s">
        <v>1031</v>
      </c>
      <c r="AH93" s="63"/>
      <c r="AI93" s="185" t="s">
        <v>131</v>
      </c>
      <c r="AJ93" s="185" t="s">
        <v>472</v>
      </c>
      <c r="AK93" s="175" t="s">
        <v>308</v>
      </c>
      <c r="AL93" s="175" t="s">
        <v>274</v>
      </c>
      <c r="AM93" s="176" t="s">
        <v>736</v>
      </c>
      <c r="AN93" s="174"/>
      <c r="AO93" s="175" t="s">
        <v>264</v>
      </c>
      <c r="AP93" s="175" t="s">
        <v>195</v>
      </c>
      <c r="AQ93" s="183" t="s">
        <v>217</v>
      </c>
      <c r="AR93" s="175" t="s">
        <v>495</v>
      </c>
      <c r="AS93" s="176" t="s">
        <v>507</v>
      </c>
    </row>
    <row r="94" spans="1:45" ht="12.6" customHeight="1">
      <c r="A94" s="81" t="s">
        <v>35</v>
      </c>
      <c r="B94" s="175" t="s">
        <v>46</v>
      </c>
      <c r="C94" s="175" t="s">
        <v>46</v>
      </c>
      <c r="D94" s="63"/>
      <c r="E94" s="175" t="s">
        <v>46</v>
      </c>
      <c r="F94" s="175" t="s">
        <v>46</v>
      </c>
      <c r="G94" s="175" t="s">
        <v>46</v>
      </c>
      <c r="H94" s="175" t="s">
        <v>46</v>
      </c>
      <c r="I94" s="175" t="s">
        <v>46</v>
      </c>
      <c r="J94" s="63"/>
      <c r="K94" s="175" t="s">
        <v>46</v>
      </c>
      <c r="L94" s="175" t="s">
        <v>46</v>
      </c>
      <c r="M94" s="175" t="s">
        <v>46</v>
      </c>
      <c r="N94" s="175" t="s">
        <v>46</v>
      </c>
      <c r="O94" s="175" t="s">
        <v>46</v>
      </c>
      <c r="P94" s="63"/>
      <c r="Q94" s="175" t="s">
        <v>46</v>
      </c>
      <c r="R94" s="175" t="s">
        <v>46</v>
      </c>
      <c r="S94" s="175" t="s">
        <v>46</v>
      </c>
      <c r="T94" s="175" t="s">
        <v>46</v>
      </c>
      <c r="U94" s="175" t="s">
        <v>46</v>
      </c>
      <c r="V94" s="63"/>
      <c r="W94" s="175" t="s">
        <v>46</v>
      </c>
      <c r="X94" s="175" t="s">
        <v>46</v>
      </c>
      <c r="Y94" s="175" t="s">
        <v>46</v>
      </c>
      <c r="Z94" s="175" t="s">
        <v>46</v>
      </c>
      <c r="AA94" s="175" t="s">
        <v>430</v>
      </c>
      <c r="AB94" s="63"/>
      <c r="AC94" s="175" t="s">
        <v>46</v>
      </c>
      <c r="AD94" s="175" t="s">
        <v>46</v>
      </c>
      <c r="AE94" s="175" t="s">
        <v>46</v>
      </c>
      <c r="AF94" s="175" t="s">
        <v>46</v>
      </c>
      <c r="AG94" s="176" t="s">
        <v>46</v>
      </c>
      <c r="AH94" s="63"/>
      <c r="AI94" s="185" t="s">
        <v>47</v>
      </c>
      <c r="AJ94" s="185" t="s">
        <v>46</v>
      </c>
      <c r="AK94" s="175" t="s">
        <v>46</v>
      </c>
      <c r="AL94" s="175" t="s">
        <v>46</v>
      </c>
      <c r="AM94" s="176" t="s">
        <v>47</v>
      </c>
      <c r="AN94" s="139"/>
      <c r="AO94" s="175" t="s">
        <v>46</v>
      </c>
      <c r="AP94" s="175" t="s">
        <v>46</v>
      </c>
      <c r="AQ94" s="183" t="s">
        <v>46</v>
      </c>
      <c r="AR94" s="175" t="s">
        <v>46</v>
      </c>
      <c r="AS94" s="176" t="s">
        <v>46</v>
      </c>
    </row>
    <row r="95" spans="1:45" ht="12.6" customHeight="1">
      <c r="A95" s="81" t="s">
        <v>93</v>
      </c>
      <c r="B95" s="175" t="s">
        <v>2225</v>
      </c>
      <c r="C95" s="175" t="s">
        <v>2264</v>
      </c>
      <c r="D95" s="63"/>
      <c r="E95" s="175" t="s">
        <v>1961</v>
      </c>
      <c r="F95" s="175" t="s">
        <v>2013</v>
      </c>
      <c r="G95" s="175" t="s">
        <v>2063</v>
      </c>
      <c r="H95" s="175" t="s">
        <v>643</v>
      </c>
      <c r="I95" s="175" t="s">
        <v>2172</v>
      </c>
      <c r="J95" s="63"/>
      <c r="K95" s="175" t="s">
        <v>920</v>
      </c>
      <c r="L95" s="175" t="s">
        <v>1701</v>
      </c>
      <c r="M95" s="175" t="s">
        <v>1761</v>
      </c>
      <c r="N95" s="175" t="s">
        <v>497</v>
      </c>
      <c r="O95" s="175" t="s">
        <v>1895</v>
      </c>
      <c r="P95" s="63"/>
      <c r="Q95" s="175" t="s">
        <v>1359</v>
      </c>
      <c r="R95" s="175" t="s">
        <v>1452</v>
      </c>
      <c r="S95" s="175" t="s">
        <v>599</v>
      </c>
      <c r="T95" s="175" t="s">
        <v>503</v>
      </c>
      <c r="U95" s="175" t="s">
        <v>1528</v>
      </c>
      <c r="V95" s="63"/>
      <c r="W95" s="175" t="s">
        <v>1085</v>
      </c>
      <c r="X95" s="175" t="s">
        <v>1135</v>
      </c>
      <c r="Y95" s="175" t="s">
        <v>1167</v>
      </c>
      <c r="Z95" s="175" t="s">
        <v>1247</v>
      </c>
      <c r="AA95" s="175" t="s">
        <v>1286</v>
      </c>
      <c r="AB95" s="63"/>
      <c r="AC95" s="175" t="s">
        <v>95</v>
      </c>
      <c r="AD95" s="175" t="s">
        <v>841</v>
      </c>
      <c r="AE95" s="175" t="s">
        <v>895</v>
      </c>
      <c r="AF95" s="175" t="s">
        <v>924</v>
      </c>
      <c r="AG95" s="176" t="s">
        <v>1032</v>
      </c>
      <c r="AH95" s="63"/>
      <c r="AI95" s="185" t="s">
        <v>478</v>
      </c>
      <c r="AJ95" s="185" t="s">
        <v>161</v>
      </c>
      <c r="AK95" s="175" t="s">
        <v>720</v>
      </c>
      <c r="AL95" s="175" t="s">
        <v>721</v>
      </c>
      <c r="AM95" s="176" t="s">
        <v>737</v>
      </c>
      <c r="AN95" s="174"/>
      <c r="AO95" s="175" t="s">
        <v>265</v>
      </c>
      <c r="AP95" s="175" t="s">
        <v>67</v>
      </c>
      <c r="AQ95" s="183" t="s">
        <v>173</v>
      </c>
      <c r="AR95" s="175" t="s">
        <v>496</v>
      </c>
      <c r="AS95" s="176" t="s">
        <v>508</v>
      </c>
    </row>
    <row r="96" spans="1:45" ht="12.6" customHeight="1">
      <c r="A96" s="81" t="s">
        <v>39</v>
      </c>
      <c r="B96" s="175" t="s">
        <v>178</v>
      </c>
      <c r="C96" s="175" t="s">
        <v>455</v>
      </c>
      <c r="D96" s="63"/>
      <c r="E96" s="175" t="s">
        <v>1962</v>
      </c>
      <c r="F96" s="175" t="s">
        <v>2014</v>
      </c>
      <c r="G96" s="175" t="s">
        <v>186</v>
      </c>
      <c r="H96" s="175" t="s">
        <v>161</v>
      </c>
      <c r="I96" s="175" t="s">
        <v>2173</v>
      </c>
      <c r="J96" s="63"/>
      <c r="K96" s="175" t="s">
        <v>1624</v>
      </c>
      <c r="L96" s="175" t="s">
        <v>1702</v>
      </c>
      <c r="M96" s="175" t="s">
        <v>1762</v>
      </c>
      <c r="N96" s="175" t="s">
        <v>1887</v>
      </c>
      <c r="O96" s="175" t="s">
        <v>1893</v>
      </c>
      <c r="P96" s="63"/>
      <c r="Q96" s="175" t="s">
        <v>1360</v>
      </c>
      <c r="R96" s="175" t="s">
        <v>1455</v>
      </c>
      <c r="S96" s="175" t="s">
        <v>65</v>
      </c>
      <c r="T96" s="175" t="s">
        <v>113</v>
      </c>
      <c r="U96" s="175" t="s">
        <v>1529</v>
      </c>
      <c r="V96" s="63"/>
      <c r="W96" s="175" t="s">
        <v>1086</v>
      </c>
      <c r="X96" s="175" t="s">
        <v>1134</v>
      </c>
      <c r="Y96" s="175" t="s">
        <v>1168</v>
      </c>
      <c r="Z96" s="175" t="s">
        <v>1248</v>
      </c>
      <c r="AA96" s="175" t="s">
        <v>1287</v>
      </c>
      <c r="AB96" s="63"/>
      <c r="AC96" s="175" t="s">
        <v>714</v>
      </c>
      <c r="AD96" s="175" t="s">
        <v>842</v>
      </c>
      <c r="AE96" s="175" t="s">
        <v>896</v>
      </c>
      <c r="AF96" s="175" t="s">
        <v>834</v>
      </c>
      <c r="AG96" s="176" t="s">
        <v>1033</v>
      </c>
      <c r="AH96" s="63"/>
      <c r="AI96" s="185" t="s">
        <v>479</v>
      </c>
      <c r="AJ96" s="185" t="s">
        <v>480</v>
      </c>
      <c r="AK96" s="175" t="s">
        <v>113</v>
      </c>
      <c r="AL96" s="175" t="s">
        <v>249</v>
      </c>
      <c r="AM96" s="176" t="s">
        <v>738</v>
      </c>
      <c r="AN96" s="139"/>
      <c r="AO96" s="175" t="s">
        <v>266</v>
      </c>
      <c r="AP96" s="175" t="s">
        <v>293</v>
      </c>
      <c r="AQ96" s="183" t="s">
        <v>328</v>
      </c>
      <c r="AR96" s="175" t="s">
        <v>497</v>
      </c>
      <c r="AS96" s="176" t="s">
        <v>509</v>
      </c>
    </row>
    <row r="97" spans="1:45" ht="12.6" customHeight="1">
      <c r="A97" s="81" t="s">
        <v>8</v>
      </c>
      <c r="B97" s="175" t="s">
        <v>2226</v>
      </c>
      <c r="C97" s="175" t="s">
        <v>2265</v>
      </c>
      <c r="D97" s="63"/>
      <c r="E97" s="175" t="s">
        <v>1963</v>
      </c>
      <c r="F97" s="175" t="s">
        <v>2015</v>
      </c>
      <c r="G97" s="175" t="s">
        <v>2064</v>
      </c>
      <c r="H97" s="175" t="s">
        <v>2174</v>
      </c>
      <c r="I97" s="175" t="s">
        <v>2175</v>
      </c>
      <c r="J97" s="63"/>
      <c r="K97" s="175" t="s">
        <v>1625</v>
      </c>
      <c r="L97" s="175" t="s">
        <v>1703</v>
      </c>
      <c r="M97" s="175" t="s">
        <v>1763</v>
      </c>
      <c r="N97" s="175" t="s">
        <v>1888</v>
      </c>
      <c r="O97" s="175" t="s">
        <v>1894</v>
      </c>
      <c r="P97" s="63"/>
      <c r="Q97" s="175" t="s">
        <v>1361</v>
      </c>
      <c r="R97" s="175" t="s">
        <v>1456</v>
      </c>
      <c r="S97" s="175" t="s">
        <v>1457</v>
      </c>
      <c r="T97" s="175" t="s">
        <v>1520</v>
      </c>
      <c r="U97" s="175" t="s">
        <v>1530</v>
      </c>
      <c r="V97" s="63"/>
      <c r="W97" s="175" t="s">
        <v>1087</v>
      </c>
      <c r="X97" s="175" t="s">
        <v>1136</v>
      </c>
      <c r="Y97" s="175" t="s">
        <v>1169</v>
      </c>
      <c r="Z97" s="175" t="s">
        <v>1249</v>
      </c>
      <c r="AA97" s="175" t="s">
        <v>1288</v>
      </c>
      <c r="AB97" s="63"/>
      <c r="AC97" s="175" t="s">
        <v>715</v>
      </c>
      <c r="AD97" s="175" t="s">
        <v>843</v>
      </c>
      <c r="AE97" s="175" t="s">
        <v>897</v>
      </c>
      <c r="AF97" s="175" t="s">
        <v>996</v>
      </c>
      <c r="AG97" s="176" t="s">
        <v>1034</v>
      </c>
      <c r="AH97" s="63"/>
      <c r="AI97" s="185" t="s">
        <v>481</v>
      </c>
      <c r="AJ97" s="185" t="s">
        <v>482</v>
      </c>
      <c r="AK97" s="175" t="s">
        <v>722</v>
      </c>
      <c r="AL97" s="175" t="s">
        <v>723</v>
      </c>
      <c r="AM97" s="176" t="s">
        <v>739</v>
      </c>
      <c r="AN97" s="179"/>
      <c r="AO97" s="175" t="s">
        <v>267</v>
      </c>
      <c r="AP97" s="175" t="s">
        <v>294</v>
      </c>
      <c r="AQ97" s="183" t="s">
        <v>329</v>
      </c>
      <c r="AR97" s="175" t="s">
        <v>498</v>
      </c>
      <c r="AS97" s="176" t="s">
        <v>510</v>
      </c>
    </row>
    <row r="98" spans="1:45" ht="12.6" customHeight="1">
      <c r="A98" s="81" t="s">
        <v>40</v>
      </c>
      <c r="B98" s="175" t="s">
        <v>2227</v>
      </c>
      <c r="C98" s="175" t="s">
        <v>46</v>
      </c>
      <c r="D98" s="63"/>
      <c r="E98" s="175" t="s">
        <v>1964</v>
      </c>
      <c r="F98" s="175" t="s">
        <v>2016</v>
      </c>
      <c r="G98" s="175" t="s">
        <v>2065</v>
      </c>
      <c r="H98" s="175" t="s">
        <v>2176</v>
      </c>
      <c r="I98" s="175" t="s">
        <v>2177</v>
      </c>
      <c r="J98" s="63"/>
      <c r="K98" s="175" t="s">
        <v>97</v>
      </c>
      <c r="L98" s="175" t="s">
        <v>1704</v>
      </c>
      <c r="M98" s="175" t="s">
        <v>46</v>
      </c>
      <c r="N98" s="175" t="s">
        <v>1890</v>
      </c>
      <c r="O98" s="175" t="s">
        <v>1896</v>
      </c>
      <c r="P98" s="63"/>
      <c r="Q98" s="175" t="s">
        <v>1362</v>
      </c>
      <c r="R98" s="175" t="s">
        <v>46</v>
      </c>
      <c r="S98" s="175" t="s">
        <v>1458</v>
      </c>
      <c r="T98" s="175" t="s">
        <v>1521</v>
      </c>
      <c r="U98" s="175" t="s">
        <v>1531</v>
      </c>
      <c r="V98" s="63"/>
      <c r="W98" s="175" t="s">
        <v>1088</v>
      </c>
      <c r="X98" s="175" t="s">
        <v>1137</v>
      </c>
      <c r="Y98" s="175" t="s">
        <v>46</v>
      </c>
      <c r="Z98" s="175" t="s">
        <v>46</v>
      </c>
      <c r="AA98" s="175" t="s">
        <v>1289</v>
      </c>
      <c r="AB98" s="63"/>
      <c r="AC98" s="175" t="s">
        <v>716</v>
      </c>
      <c r="AD98" s="175" t="s">
        <v>46</v>
      </c>
      <c r="AE98" s="175" t="s">
        <v>898</v>
      </c>
      <c r="AF98" s="175" t="s">
        <v>46</v>
      </c>
      <c r="AG98" s="176" t="s">
        <v>1035</v>
      </c>
      <c r="AH98" s="63"/>
      <c r="AI98" s="185" t="s">
        <v>483</v>
      </c>
      <c r="AJ98" s="185" t="s">
        <v>46</v>
      </c>
      <c r="AK98" s="175" t="s">
        <v>724</v>
      </c>
      <c r="AL98" s="175" t="s">
        <v>46</v>
      </c>
      <c r="AM98" s="176" t="s">
        <v>740</v>
      </c>
      <c r="AN98" s="179"/>
      <c r="AO98" s="175" t="s">
        <v>268</v>
      </c>
      <c r="AP98" s="175" t="s">
        <v>295</v>
      </c>
      <c r="AQ98" s="183" t="s">
        <v>330</v>
      </c>
      <c r="AR98" s="175" t="s">
        <v>69</v>
      </c>
      <c r="AS98" s="176" t="s">
        <v>511</v>
      </c>
    </row>
    <row r="99" spans="1:45" ht="12.6" customHeight="1">
      <c r="A99" s="81" t="s">
        <v>48</v>
      </c>
      <c r="B99" s="175" t="s">
        <v>46</v>
      </c>
      <c r="C99" s="175" t="s">
        <v>46</v>
      </c>
      <c r="D99" s="63"/>
      <c r="E99" s="175" t="s">
        <v>46</v>
      </c>
      <c r="F99" s="175" t="s">
        <v>46</v>
      </c>
      <c r="G99" s="175" t="s">
        <v>2066</v>
      </c>
      <c r="H99" s="175" t="s">
        <v>46</v>
      </c>
      <c r="I99" s="175" t="s">
        <v>2066</v>
      </c>
      <c r="J99" s="63"/>
      <c r="K99" s="175" t="s">
        <v>46</v>
      </c>
      <c r="L99" s="175" t="s">
        <v>46</v>
      </c>
      <c r="M99" s="175" t="s">
        <v>46</v>
      </c>
      <c r="N99" s="175" t="s">
        <v>1891</v>
      </c>
      <c r="O99" s="175" t="s">
        <v>1891</v>
      </c>
      <c r="P99" s="63"/>
      <c r="Q99" s="175" t="s">
        <v>1363</v>
      </c>
      <c r="R99" s="175" t="s">
        <v>46</v>
      </c>
      <c r="S99" s="175" t="s">
        <v>46</v>
      </c>
      <c r="T99" s="175" t="s">
        <v>1522</v>
      </c>
      <c r="U99" s="175" t="s">
        <v>1532</v>
      </c>
      <c r="V99" s="63"/>
      <c r="W99" s="175" t="s">
        <v>1089</v>
      </c>
      <c r="X99" s="175" t="s">
        <v>46</v>
      </c>
      <c r="Y99" s="175" t="s">
        <v>46</v>
      </c>
      <c r="Z99" s="175" t="s">
        <v>46</v>
      </c>
      <c r="AA99" s="175" t="s">
        <v>1290</v>
      </c>
      <c r="AB99" s="63"/>
      <c r="AC99" s="175" t="s">
        <v>717</v>
      </c>
      <c r="AD99" s="175" t="s">
        <v>844</v>
      </c>
      <c r="AE99" s="175" t="s">
        <v>366</v>
      </c>
      <c r="AF99" s="175" t="s">
        <v>997</v>
      </c>
      <c r="AG99" s="176" t="s">
        <v>1036</v>
      </c>
      <c r="AH99" s="63"/>
      <c r="AI99" s="185" t="s">
        <v>484</v>
      </c>
      <c r="AJ99" s="185" t="s">
        <v>485</v>
      </c>
      <c r="AK99" s="175" t="s">
        <v>725</v>
      </c>
      <c r="AL99" s="175" t="s">
        <v>422</v>
      </c>
      <c r="AM99" s="176" t="s">
        <v>741</v>
      </c>
      <c r="AN99" s="179"/>
      <c r="AO99" s="175" t="s">
        <v>269</v>
      </c>
      <c r="AP99" s="175" t="s">
        <v>296</v>
      </c>
      <c r="AQ99" s="175" t="s">
        <v>46</v>
      </c>
      <c r="AR99" s="175" t="s">
        <v>179</v>
      </c>
      <c r="AS99" s="176" t="s">
        <v>512</v>
      </c>
    </row>
    <row r="100" spans="1:45" ht="12.6" customHeight="1">
      <c r="A100" s="81" t="s">
        <v>94</v>
      </c>
      <c r="B100" s="175" t="s">
        <v>2228</v>
      </c>
      <c r="C100" s="175" t="s">
        <v>195</v>
      </c>
      <c r="D100" s="63"/>
      <c r="E100" s="175" t="s">
        <v>1965</v>
      </c>
      <c r="F100" s="175" t="s">
        <v>2017</v>
      </c>
      <c r="G100" s="175" t="s">
        <v>2067</v>
      </c>
      <c r="H100" s="175" t="s">
        <v>2178</v>
      </c>
      <c r="I100" s="175" t="s">
        <v>2179</v>
      </c>
      <c r="J100" s="63"/>
      <c r="K100" s="175" t="s">
        <v>1626</v>
      </c>
      <c r="L100" s="175" t="s">
        <v>1705</v>
      </c>
      <c r="M100" s="175" t="s">
        <v>1764</v>
      </c>
      <c r="N100" s="175" t="s">
        <v>1889</v>
      </c>
      <c r="O100" s="175" t="s">
        <v>1966</v>
      </c>
      <c r="P100" s="63"/>
      <c r="Q100" s="175" t="s">
        <v>1364</v>
      </c>
      <c r="R100" s="175" t="s">
        <v>1459</v>
      </c>
      <c r="S100" s="175" t="s">
        <v>736</v>
      </c>
      <c r="T100" s="175" t="s">
        <v>1523</v>
      </c>
      <c r="U100" s="175" t="s">
        <v>1533</v>
      </c>
      <c r="V100" s="63"/>
      <c r="W100" s="175" t="s">
        <v>1090</v>
      </c>
      <c r="X100" s="175" t="s">
        <v>1138</v>
      </c>
      <c r="Y100" s="175" t="s">
        <v>1170</v>
      </c>
      <c r="Z100" s="175" t="s">
        <v>1250</v>
      </c>
      <c r="AA100" s="175" t="s">
        <v>1291</v>
      </c>
      <c r="AB100" s="63"/>
      <c r="AC100" s="175" t="s">
        <v>718</v>
      </c>
      <c r="AD100" s="175" t="s">
        <v>52</v>
      </c>
      <c r="AE100" s="175" t="s">
        <v>899</v>
      </c>
      <c r="AF100" s="175" t="s">
        <v>998</v>
      </c>
      <c r="AG100" s="176" t="s">
        <v>1037</v>
      </c>
      <c r="AH100" s="63"/>
      <c r="AI100" s="185" t="s">
        <v>486</v>
      </c>
      <c r="AJ100" s="185" t="s">
        <v>487</v>
      </c>
      <c r="AK100" s="175" t="s">
        <v>726</v>
      </c>
      <c r="AL100" s="175" t="s">
        <v>727</v>
      </c>
      <c r="AM100" s="176" t="s">
        <v>742</v>
      </c>
      <c r="AN100" s="174"/>
      <c r="AO100" s="175" t="s">
        <v>270</v>
      </c>
      <c r="AP100" s="175" t="s">
        <v>297</v>
      </c>
      <c r="AQ100" s="175" t="s">
        <v>331</v>
      </c>
      <c r="AR100" s="175" t="s">
        <v>499</v>
      </c>
      <c r="AS100" s="176" t="s">
        <v>513</v>
      </c>
    </row>
    <row r="101" spans="1:45" ht="12.6" customHeight="1">
      <c r="A101" s="177" t="s">
        <v>22</v>
      </c>
      <c r="B101" s="176" t="s">
        <v>2221</v>
      </c>
      <c r="C101" s="176" t="s">
        <v>2261</v>
      </c>
      <c r="D101" s="63"/>
      <c r="E101" s="176" t="s">
        <v>1931</v>
      </c>
      <c r="F101" s="176" t="s">
        <v>1988</v>
      </c>
      <c r="G101" s="176" t="s">
        <v>2038</v>
      </c>
      <c r="H101" s="176" t="s">
        <v>2107</v>
      </c>
      <c r="I101" s="176" t="s">
        <v>2113</v>
      </c>
      <c r="J101" s="63"/>
      <c r="K101" s="176" t="s">
        <v>1623</v>
      </c>
      <c r="L101" s="176" t="s">
        <v>1706</v>
      </c>
      <c r="M101" s="176" t="s">
        <v>1757</v>
      </c>
      <c r="N101" s="176" t="s">
        <v>1831</v>
      </c>
      <c r="O101" s="176" t="s">
        <v>1837</v>
      </c>
      <c r="P101" s="63"/>
      <c r="Q101" s="176" t="s">
        <v>1353</v>
      </c>
      <c r="R101" s="176" t="s">
        <v>1424</v>
      </c>
      <c r="S101" s="176" t="s">
        <v>1425</v>
      </c>
      <c r="T101" s="176" t="s">
        <v>1524</v>
      </c>
      <c r="U101" s="176" t="s">
        <v>1534</v>
      </c>
      <c r="V101" s="63"/>
      <c r="W101" s="176" t="s">
        <v>1091</v>
      </c>
      <c r="X101" s="176" t="s">
        <v>1110</v>
      </c>
      <c r="Y101" s="176" t="s">
        <v>1165</v>
      </c>
      <c r="Z101" s="176" t="s">
        <v>1242</v>
      </c>
      <c r="AA101" s="176" t="s">
        <v>1292</v>
      </c>
      <c r="AB101" s="63"/>
      <c r="AC101" s="176" t="s">
        <v>719</v>
      </c>
      <c r="AD101" s="176" t="s">
        <v>833</v>
      </c>
      <c r="AE101" s="176" t="s">
        <v>892</v>
      </c>
      <c r="AF101" s="176" t="s">
        <v>923</v>
      </c>
      <c r="AG101" s="176" t="s">
        <v>932</v>
      </c>
      <c r="AH101" s="63"/>
      <c r="AI101" s="176" t="s">
        <v>488</v>
      </c>
      <c r="AJ101" s="176" t="s">
        <v>489</v>
      </c>
      <c r="AK101" s="176" t="s">
        <v>728</v>
      </c>
      <c r="AL101" s="176" t="s">
        <v>729</v>
      </c>
      <c r="AM101" s="176" t="s">
        <v>743</v>
      </c>
      <c r="AN101" s="174"/>
      <c r="AO101" s="176" t="s">
        <v>259</v>
      </c>
      <c r="AP101" s="176" t="s">
        <v>290</v>
      </c>
      <c r="AQ101" s="176" t="s">
        <v>332</v>
      </c>
      <c r="AR101" s="176" t="s">
        <v>500</v>
      </c>
      <c r="AS101" s="176" t="s">
        <v>514</v>
      </c>
    </row>
    <row r="103" spans="1:45" ht="12.6" customHeight="1">
      <c r="A103" s="156" t="s">
        <v>2280</v>
      </c>
    </row>
  </sheetData>
  <phoneticPr fontId="0" type="noConversion"/>
  <pageMargins left="0.25" right="0.25" top="1" bottom="1" header="0.5" footer="0.5"/>
  <pageSetup paperSize="5" orientation="landscape" horizontalDpi="1200" verticalDpi="1200" r:id="rId1"/>
  <headerFooter alignWithMargins="0"/>
  <ignoredErrors>
    <ignoredError sqref="AI96 AK48 AD36:AG41 AD48:AF51 AD83:AE85 AD93:AF99 W50:W51 AP57 AR95 AA37 Y50 Z48 Q84 Q86 U37 S48 T50 K84 M48 O84 E95 E97 G37:H40 H84 F95:G95 B95" twoDigitTextYea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9:L61"/>
  <sheetViews>
    <sheetView topLeftCell="A18" zoomScale="115" zoomScaleNormal="115" workbookViewId="0">
      <selection activeCell="A9" sqref="A9"/>
    </sheetView>
  </sheetViews>
  <sheetFormatPr defaultColWidth="8.85546875" defaultRowHeight="10.5"/>
  <cols>
    <col min="1" max="1" width="10.42578125" style="9" customWidth="1"/>
    <col min="2" max="16384" width="8.85546875" style="9"/>
  </cols>
  <sheetData>
    <row r="9" spans="1:12" ht="15">
      <c r="A9" s="76" t="s">
        <v>126</v>
      </c>
    </row>
    <row r="10" spans="1:12" ht="11.25">
      <c r="A10" s="77" t="s">
        <v>125</v>
      </c>
      <c r="B10" s="88"/>
      <c r="C10" s="88"/>
      <c r="D10" s="88"/>
      <c r="E10" s="88"/>
      <c r="F10" s="88"/>
      <c r="G10" s="88"/>
      <c r="H10" s="88"/>
      <c r="I10" s="88"/>
      <c r="J10" s="88"/>
      <c r="K10" s="88"/>
      <c r="L10" s="88"/>
    </row>
    <row r="11" spans="1:12" ht="11.25">
      <c r="A11" s="88"/>
      <c r="B11" s="88"/>
      <c r="C11" s="88"/>
      <c r="D11" s="88"/>
      <c r="E11" s="88"/>
      <c r="F11" s="88"/>
      <c r="G11" s="88"/>
      <c r="H11" s="88"/>
      <c r="I11" s="88"/>
      <c r="J11" s="88"/>
      <c r="K11" s="88"/>
      <c r="L11" s="88"/>
    </row>
    <row r="12" spans="1:12" ht="11.25">
      <c r="A12" s="156" t="s">
        <v>1897</v>
      </c>
      <c r="B12" s="88"/>
      <c r="C12" s="88"/>
      <c r="D12" s="88"/>
      <c r="E12" s="88"/>
      <c r="F12" s="88"/>
      <c r="G12" s="88"/>
      <c r="H12" s="88"/>
      <c r="I12" s="88"/>
      <c r="J12" s="156" t="s">
        <v>1898</v>
      </c>
      <c r="K12" s="88"/>
      <c r="L12" s="88"/>
    </row>
    <row r="13" spans="1:12" ht="11.25">
      <c r="A13" s="88"/>
      <c r="B13" s="88"/>
      <c r="C13" s="88"/>
      <c r="D13" s="88"/>
      <c r="E13" s="88"/>
      <c r="F13" s="88"/>
      <c r="G13" s="88"/>
      <c r="H13" s="88"/>
      <c r="I13" s="88"/>
      <c r="J13" s="88"/>
      <c r="K13" s="88"/>
      <c r="L13" s="88"/>
    </row>
    <row r="14" spans="1:12" ht="11.25">
      <c r="A14" s="88"/>
      <c r="B14" s="88"/>
      <c r="C14" s="88"/>
      <c r="D14" s="88"/>
      <c r="E14" s="88"/>
      <c r="F14" s="88"/>
      <c r="G14" s="88"/>
      <c r="H14" s="88"/>
      <c r="I14" s="88"/>
      <c r="J14" s="88"/>
      <c r="K14" s="88"/>
      <c r="L14" s="88"/>
    </row>
    <row r="15" spans="1:12" ht="11.25">
      <c r="A15" s="88"/>
      <c r="B15" s="88"/>
      <c r="C15" s="88"/>
      <c r="D15" s="88"/>
      <c r="E15" s="88"/>
      <c r="F15" s="88"/>
      <c r="G15" s="88"/>
      <c r="H15" s="88"/>
      <c r="I15" s="88"/>
      <c r="J15" s="88"/>
      <c r="K15" s="88"/>
      <c r="L15" s="88"/>
    </row>
    <row r="16" spans="1:12" ht="11.25">
      <c r="A16" s="88"/>
      <c r="B16" s="88"/>
      <c r="C16" s="88"/>
      <c r="D16" s="88"/>
      <c r="E16" s="88"/>
      <c r="F16" s="88"/>
      <c r="G16" s="88"/>
      <c r="H16" s="88"/>
      <c r="I16" s="88"/>
      <c r="J16" s="88"/>
      <c r="K16" s="88"/>
      <c r="L16" s="88"/>
    </row>
    <row r="17" spans="1:12" ht="11.25">
      <c r="A17" s="88"/>
      <c r="B17" s="88"/>
      <c r="C17" s="88"/>
      <c r="D17" s="88"/>
      <c r="E17" s="88"/>
      <c r="F17" s="88"/>
      <c r="G17" s="88"/>
      <c r="H17" s="88"/>
      <c r="I17" s="88"/>
      <c r="J17" s="88"/>
      <c r="K17" s="88"/>
      <c r="L17" s="88"/>
    </row>
    <row r="18" spans="1:12" ht="11.25">
      <c r="A18" s="88"/>
      <c r="B18" s="88"/>
      <c r="C18" s="88"/>
      <c r="D18" s="88"/>
      <c r="E18" s="88"/>
      <c r="F18" s="88"/>
      <c r="G18" s="88"/>
      <c r="H18" s="88"/>
      <c r="I18" s="88"/>
      <c r="J18" s="88"/>
      <c r="K18" s="88"/>
      <c r="L18" s="88"/>
    </row>
    <row r="19" spans="1:12" ht="11.25">
      <c r="A19" s="88"/>
      <c r="B19" s="88"/>
      <c r="C19" s="88"/>
      <c r="D19" s="88"/>
      <c r="E19" s="88"/>
      <c r="F19" s="88"/>
      <c r="G19" s="88"/>
      <c r="H19" s="88"/>
      <c r="I19" s="88"/>
      <c r="J19" s="88"/>
      <c r="K19" s="88"/>
      <c r="L19" s="88"/>
    </row>
    <row r="20" spans="1:12" ht="11.25">
      <c r="A20" s="88"/>
      <c r="B20" s="88"/>
      <c r="C20" s="88"/>
      <c r="D20" s="88"/>
      <c r="E20" s="88"/>
      <c r="F20" s="88"/>
      <c r="G20" s="88"/>
      <c r="H20" s="88"/>
      <c r="I20" s="88"/>
      <c r="J20" s="88"/>
      <c r="K20" s="88"/>
      <c r="L20" s="88"/>
    </row>
    <row r="21" spans="1:12" ht="11.25">
      <c r="A21" s="88"/>
      <c r="B21" s="88"/>
      <c r="C21" s="88"/>
      <c r="D21" s="88"/>
      <c r="E21" s="88"/>
      <c r="F21" s="88"/>
      <c r="G21" s="88"/>
      <c r="H21" s="88"/>
      <c r="I21" s="88"/>
      <c r="J21" s="88"/>
      <c r="K21" s="88"/>
      <c r="L21" s="88"/>
    </row>
    <row r="22" spans="1:12" ht="11.25">
      <c r="A22" s="88"/>
      <c r="B22" s="88"/>
      <c r="C22" s="88"/>
      <c r="D22" s="88"/>
      <c r="E22" s="88"/>
      <c r="F22" s="88"/>
      <c r="G22" s="88"/>
      <c r="H22" s="88"/>
      <c r="I22" s="88"/>
      <c r="J22" s="88"/>
      <c r="K22" s="88"/>
      <c r="L22" s="88"/>
    </row>
    <row r="23" spans="1:12" ht="11.25">
      <c r="A23" s="88"/>
      <c r="B23" s="88"/>
      <c r="C23" s="88"/>
      <c r="D23" s="88"/>
      <c r="E23" s="88"/>
      <c r="F23" s="88"/>
      <c r="G23" s="88"/>
      <c r="H23" s="88"/>
      <c r="I23" s="88"/>
      <c r="J23" s="88"/>
      <c r="K23" s="88"/>
      <c r="L23" s="88"/>
    </row>
    <row r="24" spans="1:12" ht="11.25">
      <c r="A24" s="88"/>
      <c r="B24" s="88"/>
      <c r="C24" s="88"/>
      <c r="D24" s="88"/>
      <c r="E24" s="88"/>
      <c r="F24" s="88"/>
      <c r="G24" s="88"/>
      <c r="H24" s="88"/>
      <c r="I24" s="88"/>
      <c r="J24" s="88"/>
      <c r="K24" s="88"/>
      <c r="L24" s="88"/>
    </row>
    <row r="25" spans="1:12" ht="11.25">
      <c r="A25" s="88"/>
      <c r="B25" s="88"/>
      <c r="C25" s="88"/>
      <c r="D25" s="88"/>
      <c r="E25" s="88"/>
      <c r="F25" s="88"/>
      <c r="G25" s="88"/>
      <c r="H25" s="88"/>
      <c r="I25" s="88"/>
      <c r="J25" s="88"/>
      <c r="K25" s="88"/>
      <c r="L25" s="88"/>
    </row>
    <row r="26" spans="1:12" ht="11.25">
      <c r="A26" s="88"/>
      <c r="B26" s="88"/>
      <c r="C26" s="88"/>
      <c r="D26" s="88"/>
      <c r="E26" s="88"/>
      <c r="F26" s="88"/>
      <c r="G26" s="88"/>
      <c r="H26" s="88"/>
      <c r="I26" s="88"/>
      <c r="J26" s="88"/>
      <c r="K26" s="88"/>
      <c r="L26" s="88"/>
    </row>
    <row r="27" spans="1:12" ht="11.25">
      <c r="A27" s="156" t="s">
        <v>1899</v>
      </c>
      <c r="B27" s="88"/>
      <c r="C27" s="88"/>
      <c r="D27" s="88"/>
      <c r="E27" s="88"/>
      <c r="F27" s="88"/>
      <c r="G27" s="88"/>
      <c r="H27" s="88"/>
      <c r="I27" s="88"/>
      <c r="J27" s="156" t="s">
        <v>1900</v>
      </c>
      <c r="K27" s="88"/>
      <c r="L27" s="88"/>
    </row>
    <row r="28" spans="1:12" ht="11.25">
      <c r="A28" s="88"/>
      <c r="B28" s="88"/>
      <c r="C28" s="88"/>
      <c r="D28" s="88"/>
      <c r="E28" s="88"/>
      <c r="F28" s="88"/>
      <c r="G28" s="88"/>
      <c r="H28" s="88"/>
      <c r="I28" s="88"/>
      <c r="J28" s="88"/>
      <c r="K28" s="88"/>
      <c r="L28" s="88"/>
    </row>
    <row r="29" spans="1:12" ht="11.25">
      <c r="A29" s="88"/>
      <c r="B29" s="88"/>
      <c r="C29" s="88"/>
      <c r="D29" s="88"/>
      <c r="E29" s="88"/>
      <c r="F29" s="88"/>
      <c r="G29" s="88"/>
      <c r="H29" s="88"/>
      <c r="I29" s="88"/>
      <c r="J29" s="88"/>
      <c r="K29" s="88"/>
      <c r="L29" s="88"/>
    </row>
    <row r="30" spans="1:12" ht="11.25">
      <c r="A30" s="88"/>
      <c r="B30" s="88"/>
      <c r="C30" s="88"/>
      <c r="D30" s="88"/>
      <c r="E30" s="88"/>
      <c r="F30" s="88"/>
      <c r="G30" s="88"/>
      <c r="H30" s="88"/>
      <c r="I30" s="88"/>
      <c r="J30" s="88"/>
      <c r="K30" s="88"/>
      <c r="L30" s="88"/>
    </row>
    <row r="31" spans="1:12" ht="11.25">
      <c r="A31" s="88"/>
      <c r="B31" s="88"/>
      <c r="C31" s="88"/>
      <c r="D31" s="88"/>
      <c r="E31" s="88"/>
      <c r="F31" s="88"/>
      <c r="G31" s="88"/>
      <c r="H31" s="88"/>
      <c r="I31" s="88"/>
      <c r="J31" s="88"/>
      <c r="K31" s="88"/>
      <c r="L31" s="88"/>
    </row>
    <row r="32" spans="1:12" ht="11.25">
      <c r="A32" s="88"/>
      <c r="B32" s="88"/>
      <c r="C32" s="88"/>
      <c r="D32" s="88"/>
      <c r="E32" s="88"/>
      <c r="F32" s="88"/>
      <c r="G32" s="88"/>
      <c r="H32" s="88"/>
      <c r="I32" s="88"/>
      <c r="J32" s="88"/>
      <c r="K32" s="88"/>
      <c r="L32" s="88"/>
    </row>
    <row r="33" spans="1:12" ht="11.25">
      <c r="A33" s="88"/>
      <c r="B33" s="88"/>
      <c r="C33" s="88"/>
      <c r="D33" s="88"/>
      <c r="E33" s="88"/>
      <c r="F33" s="88"/>
      <c r="G33" s="88"/>
      <c r="H33" s="88"/>
      <c r="I33" s="88"/>
      <c r="J33" s="88"/>
      <c r="K33" s="88"/>
      <c r="L33" s="88"/>
    </row>
    <row r="34" spans="1:12" ht="11.25">
      <c r="A34" s="88"/>
      <c r="B34" s="88"/>
      <c r="C34" s="88"/>
      <c r="D34" s="88"/>
      <c r="E34" s="88"/>
      <c r="F34" s="88"/>
      <c r="G34" s="88"/>
      <c r="H34" s="88"/>
      <c r="I34" s="88"/>
      <c r="J34" s="88"/>
      <c r="K34" s="88"/>
      <c r="L34" s="88"/>
    </row>
    <row r="35" spans="1:12" ht="11.25">
      <c r="A35" s="88"/>
      <c r="B35" s="88"/>
      <c r="C35" s="88"/>
      <c r="D35" s="88"/>
      <c r="E35" s="88"/>
      <c r="F35" s="88"/>
      <c r="G35" s="88"/>
      <c r="H35" s="88"/>
      <c r="I35" s="88"/>
      <c r="J35" s="88"/>
      <c r="K35" s="88"/>
      <c r="L35" s="88"/>
    </row>
    <row r="36" spans="1:12" ht="11.25">
      <c r="A36" s="88"/>
      <c r="B36" s="88"/>
      <c r="C36" s="88"/>
      <c r="D36" s="88"/>
      <c r="E36" s="88"/>
      <c r="F36" s="88"/>
      <c r="G36" s="88"/>
      <c r="H36" s="88"/>
      <c r="I36" s="88"/>
      <c r="J36" s="88"/>
      <c r="K36" s="88"/>
      <c r="L36" s="88"/>
    </row>
    <row r="37" spans="1:12" ht="11.25">
      <c r="A37" s="88"/>
      <c r="B37" s="88"/>
      <c r="C37" s="88"/>
      <c r="D37" s="88"/>
      <c r="E37" s="88"/>
      <c r="F37" s="88"/>
      <c r="G37" s="88"/>
      <c r="H37" s="88"/>
      <c r="I37" s="88"/>
      <c r="J37" s="88"/>
      <c r="K37" s="88"/>
      <c r="L37" s="88"/>
    </row>
    <row r="38" spans="1:12" ht="11.25">
      <c r="A38" s="88"/>
      <c r="B38" s="88"/>
      <c r="C38" s="88"/>
      <c r="D38" s="88"/>
      <c r="E38" s="88"/>
      <c r="F38" s="88"/>
      <c r="G38" s="88"/>
      <c r="H38" s="88"/>
      <c r="I38" s="88"/>
      <c r="J38" s="88"/>
      <c r="K38" s="88"/>
      <c r="L38" s="88"/>
    </row>
    <row r="39" spans="1:12" ht="11.25">
      <c r="A39" s="88"/>
      <c r="B39" s="88"/>
      <c r="C39" s="88"/>
      <c r="D39" s="88"/>
      <c r="E39" s="88"/>
      <c r="F39" s="88"/>
      <c r="G39" s="88"/>
      <c r="H39" s="88"/>
      <c r="I39" s="88"/>
      <c r="J39" s="88"/>
      <c r="K39" s="88"/>
      <c r="L39" s="88"/>
    </row>
    <row r="40" spans="1:12" ht="11.25">
      <c r="A40" s="88"/>
      <c r="B40" s="88"/>
      <c r="C40" s="88"/>
      <c r="D40" s="88"/>
      <c r="E40" s="88"/>
      <c r="F40" s="88"/>
      <c r="G40" s="88"/>
      <c r="H40" s="88"/>
      <c r="I40" s="88"/>
      <c r="J40" s="88"/>
      <c r="K40" s="88"/>
      <c r="L40" s="88"/>
    </row>
    <row r="41" spans="1:12" ht="11.25">
      <c r="A41" s="88"/>
      <c r="B41" s="88"/>
      <c r="C41" s="88"/>
      <c r="D41" s="88"/>
      <c r="E41" s="88"/>
      <c r="F41" s="88"/>
      <c r="G41" s="88"/>
      <c r="H41" s="88"/>
      <c r="I41" s="88"/>
      <c r="J41" s="88"/>
      <c r="K41" s="88"/>
      <c r="L41" s="88"/>
    </row>
    <row r="42" spans="1:12" ht="11.25">
      <c r="A42" s="156" t="s">
        <v>1901</v>
      </c>
      <c r="B42" s="88"/>
      <c r="C42" s="88"/>
      <c r="D42" s="88"/>
      <c r="E42" s="88"/>
      <c r="F42" s="88"/>
      <c r="G42" s="88"/>
      <c r="H42" s="88"/>
      <c r="I42" s="88"/>
      <c r="J42" s="156" t="s">
        <v>1902</v>
      </c>
      <c r="K42" s="88"/>
      <c r="L42" s="88"/>
    </row>
    <row r="43" spans="1:12" ht="11.25">
      <c r="A43" s="88"/>
      <c r="B43" s="88"/>
      <c r="C43" s="88"/>
      <c r="D43" s="88"/>
      <c r="E43" s="88"/>
      <c r="F43" s="88"/>
      <c r="G43" s="88"/>
      <c r="H43" s="88"/>
      <c r="I43" s="88"/>
      <c r="J43" s="88"/>
      <c r="K43" s="88"/>
      <c r="L43" s="88"/>
    </row>
    <row r="44" spans="1:12" ht="11.25">
      <c r="A44" s="88"/>
      <c r="B44" s="88"/>
      <c r="C44" s="88"/>
      <c r="D44" s="88"/>
      <c r="E44" s="88"/>
      <c r="F44" s="88"/>
      <c r="G44" s="88"/>
      <c r="H44" s="88"/>
      <c r="I44" s="88"/>
      <c r="J44" s="88"/>
      <c r="K44" s="88"/>
      <c r="L44" s="88"/>
    </row>
    <row r="45" spans="1:12" ht="11.25">
      <c r="A45" s="88"/>
      <c r="B45" s="88"/>
      <c r="C45" s="88"/>
      <c r="D45" s="88"/>
      <c r="E45" s="88"/>
      <c r="F45" s="88"/>
      <c r="G45" s="88"/>
      <c r="H45" s="88"/>
      <c r="I45" s="88"/>
      <c r="J45" s="88"/>
      <c r="K45" s="88"/>
      <c r="L45" s="88"/>
    </row>
    <row r="46" spans="1:12" ht="11.25">
      <c r="A46" s="88"/>
      <c r="B46" s="88"/>
      <c r="C46" s="88"/>
      <c r="D46" s="88"/>
      <c r="E46" s="88"/>
      <c r="F46" s="88"/>
      <c r="G46" s="88"/>
      <c r="H46" s="88"/>
      <c r="I46" s="88"/>
      <c r="J46" s="88"/>
      <c r="K46" s="88"/>
      <c r="L46" s="88"/>
    </row>
    <row r="47" spans="1:12" ht="11.25">
      <c r="A47" s="88"/>
      <c r="B47" s="88"/>
      <c r="C47" s="88"/>
      <c r="D47" s="88"/>
      <c r="E47" s="88"/>
      <c r="F47" s="88"/>
      <c r="G47" s="88"/>
      <c r="H47" s="88"/>
      <c r="I47" s="88"/>
      <c r="J47" s="88"/>
      <c r="K47" s="88"/>
      <c r="L47" s="88"/>
    </row>
    <row r="48" spans="1:12" ht="11.25">
      <c r="A48" s="88"/>
      <c r="B48" s="205"/>
      <c r="C48" s="205"/>
      <c r="D48" s="205"/>
      <c r="E48" s="205"/>
      <c r="F48" s="205"/>
      <c r="G48" s="205"/>
      <c r="H48" s="205"/>
      <c r="I48" s="205"/>
      <c r="J48" s="205"/>
      <c r="K48" s="205"/>
      <c r="L48" s="205"/>
    </row>
    <row r="49" spans="1:12" ht="12" customHeight="1">
      <c r="A49" s="88"/>
      <c r="B49" s="205"/>
      <c r="C49" s="205"/>
      <c r="D49" s="205"/>
      <c r="E49" s="205"/>
      <c r="F49" s="205"/>
      <c r="G49" s="205"/>
      <c r="H49" s="205"/>
      <c r="I49" s="205"/>
      <c r="J49" s="205"/>
      <c r="K49" s="205"/>
      <c r="L49" s="205"/>
    </row>
    <row r="50" spans="1:12" s="24" customFormat="1" ht="12" customHeight="1">
      <c r="A50" s="187"/>
      <c r="B50" s="205"/>
      <c r="C50" s="205"/>
      <c r="D50" s="205"/>
      <c r="E50" s="205"/>
      <c r="F50" s="205"/>
      <c r="G50" s="205"/>
      <c r="H50" s="205"/>
      <c r="I50" s="205"/>
      <c r="J50" s="205"/>
      <c r="K50" s="205"/>
      <c r="L50" s="205"/>
    </row>
    <row r="51" spans="1:12" s="24" customFormat="1" ht="12" customHeight="1">
      <c r="A51" s="187"/>
      <c r="B51" s="205"/>
      <c r="C51" s="205"/>
      <c r="D51" s="205"/>
      <c r="E51" s="205"/>
      <c r="F51" s="205"/>
      <c r="G51" s="205"/>
      <c r="H51" s="205"/>
      <c r="I51" s="205"/>
      <c r="J51" s="205"/>
      <c r="K51" s="205"/>
      <c r="L51" s="205"/>
    </row>
    <row r="52" spans="1:12" s="24" customFormat="1" ht="11.25">
      <c r="A52" s="187"/>
      <c r="B52" s="205"/>
      <c r="C52" s="205"/>
      <c r="D52" s="205"/>
      <c r="E52" s="205"/>
      <c r="F52" s="205"/>
      <c r="G52" s="205"/>
      <c r="H52" s="205"/>
      <c r="I52" s="205"/>
      <c r="J52" s="205"/>
      <c r="K52" s="205"/>
      <c r="L52" s="205"/>
    </row>
    <row r="53" spans="1:12" ht="11.25">
      <c r="A53" s="88"/>
      <c r="B53" s="205"/>
      <c r="C53" s="205"/>
      <c r="D53" s="205"/>
      <c r="E53" s="205"/>
      <c r="F53" s="205"/>
      <c r="G53" s="205"/>
      <c r="H53" s="205"/>
      <c r="I53" s="205"/>
      <c r="J53" s="205"/>
      <c r="K53" s="205"/>
      <c r="L53" s="205"/>
    </row>
    <row r="54" spans="1:12" ht="11.25">
      <c r="A54" s="88"/>
      <c r="B54" s="88"/>
      <c r="C54" s="88"/>
      <c r="D54" s="88"/>
      <c r="E54" s="88"/>
      <c r="F54" s="88"/>
      <c r="G54" s="88"/>
      <c r="H54" s="88"/>
      <c r="I54" s="88"/>
      <c r="J54" s="88"/>
      <c r="K54" s="88"/>
      <c r="L54" s="88"/>
    </row>
    <row r="55" spans="1:12" ht="11.25">
      <c r="A55" s="88"/>
      <c r="B55" s="88"/>
      <c r="C55" s="88"/>
      <c r="D55" s="88"/>
      <c r="E55" s="88"/>
      <c r="F55" s="88"/>
      <c r="G55" s="88"/>
      <c r="H55" s="88"/>
      <c r="I55" s="88"/>
      <c r="J55" s="88"/>
      <c r="K55" s="88"/>
      <c r="L55" s="88"/>
    </row>
    <row r="56" spans="1:12" ht="11.25">
      <c r="A56" s="88"/>
      <c r="B56" s="88"/>
      <c r="C56" s="88"/>
      <c r="D56" s="88"/>
      <c r="E56" s="88"/>
      <c r="F56" s="88"/>
      <c r="G56" s="88"/>
      <c r="H56" s="88"/>
      <c r="I56" s="88"/>
      <c r="J56" s="88"/>
      <c r="K56" s="88"/>
      <c r="L56" s="88"/>
    </row>
    <row r="57" spans="1:12" ht="11.25">
      <c r="A57" s="88"/>
      <c r="B57" s="88"/>
      <c r="C57" s="88"/>
      <c r="D57" s="88"/>
      <c r="E57" s="88"/>
      <c r="F57" s="88"/>
      <c r="G57" s="88"/>
      <c r="H57" s="88"/>
      <c r="I57" s="88"/>
      <c r="J57" s="88"/>
      <c r="K57" s="88"/>
      <c r="L57" s="88"/>
    </row>
    <row r="58" spans="1:12" ht="11.25">
      <c r="A58" s="88"/>
      <c r="B58" s="88"/>
      <c r="C58" s="88"/>
      <c r="D58" s="88"/>
      <c r="E58" s="88"/>
      <c r="F58" s="88"/>
      <c r="G58" s="88"/>
      <c r="H58" s="88"/>
      <c r="I58" s="88"/>
      <c r="J58" s="88"/>
      <c r="K58" s="88"/>
      <c r="L58" s="88"/>
    </row>
    <row r="59" spans="1:12" ht="11.25">
      <c r="A59" s="88"/>
      <c r="B59" s="88"/>
      <c r="C59" s="88"/>
      <c r="D59" s="88"/>
      <c r="E59" s="88"/>
      <c r="F59" s="88"/>
      <c r="G59" s="88"/>
      <c r="H59" s="88"/>
      <c r="I59" s="88"/>
      <c r="J59" s="88"/>
      <c r="K59" s="88"/>
      <c r="L59" s="88"/>
    </row>
    <row r="60" spans="1:12" ht="11.25">
      <c r="A60" s="88"/>
      <c r="B60" s="88"/>
      <c r="C60" s="88"/>
      <c r="D60" s="88"/>
      <c r="E60" s="88"/>
      <c r="F60" s="88"/>
      <c r="G60" s="88"/>
      <c r="H60" s="88"/>
      <c r="I60" s="88"/>
      <c r="J60" s="88"/>
      <c r="K60" s="88"/>
      <c r="L60" s="88"/>
    </row>
    <row r="61" spans="1:12" ht="11.25">
      <c r="A61" s="156" t="s">
        <v>2282</v>
      </c>
      <c r="B61" s="88"/>
      <c r="C61" s="88"/>
      <c r="D61" s="88"/>
      <c r="E61" s="88"/>
      <c r="F61" s="88"/>
      <c r="G61" s="88"/>
      <c r="H61" s="88"/>
      <c r="I61" s="88"/>
      <c r="J61" s="88"/>
      <c r="K61" s="88"/>
      <c r="L61" s="88"/>
    </row>
  </sheetData>
  <mergeCells count="6">
    <mergeCell ref="B50:L50"/>
    <mergeCell ref="B48:L48"/>
    <mergeCell ref="B49:L49"/>
    <mergeCell ref="B52:L52"/>
    <mergeCell ref="B53:L53"/>
    <mergeCell ref="B51:L51"/>
  </mergeCells>
  <pageMargins left="0.7" right="0.7" top="0.75" bottom="0.75" header="0.3" footer="0.3"/>
  <pageSetup scale="6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9:O51"/>
  <sheetViews>
    <sheetView zoomScale="115" zoomScaleNormal="115" workbookViewId="0">
      <selection activeCell="AA52" sqref="AA52"/>
    </sheetView>
  </sheetViews>
  <sheetFormatPr defaultColWidth="8.85546875" defaultRowHeight="10.5"/>
  <cols>
    <col min="1" max="1" width="10.42578125" style="9" customWidth="1"/>
    <col min="2" max="16384" width="8.85546875" style="9"/>
  </cols>
  <sheetData>
    <row r="9" spans="1:12" ht="15">
      <c r="A9" s="76" t="s">
        <v>124</v>
      </c>
    </row>
    <row r="10" spans="1:12" ht="11.25">
      <c r="A10" s="77" t="s">
        <v>125</v>
      </c>
      <c r="B10" s="88"/>
      <c r="C10" s="88"/>
      <c r="D10" s="88"/>
      <c r="E10" s="88"/>
      <c r="F10" s="88"/>
      <c r="G10" s="88"/>
      <c r="H10" s="88"/>
      <c r="I10" s="88"/>
      <c r="J10" s="88"/>
      <c r="K10" s="88"/>
      <c r="L10" s="88"/>
    </row>
    <row r="11" spans="1:12" ht="11.25">
      <c r="A11" s="88"/>
      <c r="B11" s="88"/>
      <c r="C11" s="88"/>
      <c r="D11" s="88"/>
      <c r="E11" s="88"/>
      <c r="F11" s="88"/>
      <c r="G11" s="88"/>
      <c r="H11" s="88"/>
      <c r="I11" s="88"/>
      <c r="J11" s="88"/>
      <c r="K11" s="88"/>
      <c r="L11" s="88"/>
    </row>
    <row r="12" spans="1:12" ht="11.25">
      <c r="A12" s="156" t="s">
        <v>1910</v>
      </c>
      <c r="B12" s="88"/>
      <c r="C12" s="88"/>
      <c r="D12" s="88"/>
      <c r="E12" s="88"/>
      <c r="F12" s="88"/>
      <c r="G12" s="88"/>
      <c r="H12" s="88"/>
      <c r="I12" s="88"/>
      <c r="J12" s="156" t="s">
        <v>1909</v>
      </c>
      <c r="K12" s="88"/>
      <c r="L12" s="88"/>
    </row>
    <row r="13" spans="1:12" ht="11.25">
      <c r="A13" s="88"/>
      <c r="B13" s="88"/>
      <c r="C13" s="88"/>
      <c r="D13" s="88"/>
      <c r="E13" s="88"/>
      <c r="F13" s="88"/>
      <c r="G13" s="88"/>
      <c r="H13" s="88"/>
      <c r="I13" s="88"/>
      <c r="J13" s="88"/>
      <c r="K13" s="88"/>
      <c r="L13" s="88"/>
    </row>
    <row r="14" spans="1:12" ht="11.25">
      <c r="A14" s="88"/>
      <c r="B14" s="88"/>
      <c r="C14" s="88"/>
      <c r="D14" s="88"/>
      <c r="E14" s="88"/>
      <c r="F14" s="88"/>
      <c r="G14" s="88"/>
      <c r="H14" s="88"/>
      <c r="I14" s="88"/>
      <c r="J14" s="88"/>
      <c r="K14" s="88"/>
      <c r="L14" s="88"/>
    </row>
    <row r="15" spans="1:12" ht="11.25">
      <c r="A15" s="88"/>
      <c r="B15" s="88"/>
      <c r="C15" s="88"/>
      <c r="D15" s="88"/>
      <c r="E15" s="88"/>
      <c r="F15" s="88"/>
      <c r="G15" s="88"/>
      <c r="H15" s="88"/>
      <c r="I15" s="88"/>
      <c r="J15" s="88"/>
      <c r="K15" s="88"/>
      <c r="L15" s="88"/>
    </row>
    <row r="16" spans="1:12" ht="11.25">
      <c r="A16" s="88"/>
      <c r="B16" s="88"/>
      <c r="C16" s="88"/>
      <c r="D16" s="88"/>
      <c r="E16" s="88"/>
      <c r="F16" s="88"/>
      <c r="G16" s="88"/>
      <c r="H16" s="88"/>
      <c r="I16" s="88"/>
      <c r="J16" s="88"/>
      <c r="K16" s="88"/>
      <c r="L16" s="88"/>
    </row>
    <row r="17" spans="1:15" ht="11.25">
      <c r="A17" s="88"/>
      <c r="B17" s="88"/>
      <c r="C17" s="88"/>
      <c r="D17" s="88"/>
      <c r="E17" s="88"/>
      <c r="F17" s="88"/>
      <c r="G17" s="88"/>
      <c r="H17" s="88"/>
      <c r="I17" s="88"/>
      <c r="J17" s="88"/>
      <c r="K17" s="88"/>
      <c r="L17" s="88"/>
    </row>
    <row r="18" spans="1:15" ht="11.25">
      <c r="A18" s="88"/>
      <c r="B18" s="88"/>
      <c r="C18" s="88"/>
      <c r="D18" s="88"/>
      <c r="E18" s="88"/>
      <c r="F18" s="88"/>
      <c r="G18" s="88"/>
      <c r="H18" s="88"/>
      <c r="I18" s="88"/>
      <c r="J18" s="88"/>
      <c r="K18" s="88"/>
      <c r="L18" s="88"/>
    </row>
    <row r="19" spans="1:15" ht="11.25">
      <c r="A19" s="88"/>
      <c r="B19" s="88"/>
      <c r="C19" s="88"/>
      <c r="D19" s="88"/>
      <c r="E19" s="88"/>
      <c r="F19" s="88"/>
      <c r="G19" s="88"/>
      <c r="H19" s="88"/>
      <c r="I19" s="88"/>
      <c r="J19" s="88"/>
      <c r="K19" s="88"/>
      <c r="L19" s="88"/>
    </row>
    <row r="20" spans="1:15" ht="11.25">
      <c r="A20" s="88"/>
      <c r="B20" s="88"/>
      <c r="C20" s="88"/>
      <c r="D20" s="88"/>
      <c r="E20" s="88"/>
      <c r="F20" s="88"/>
      <c r="G20" s="88"/>
      <c r="H20" s="88"/>
      <c r="I20" s="88"/>
      <c r="J20" s="88"/>
      <c r="K20" s="88"/>
      <c r="L20" s="88"/>
    </row>
    <row r="21" spans="1:15" ht="11.25">
      <c r="A21" s="88"/>
      <c r="B21" s="88"/>
      <c r="C21" s="88"/>
      <c r="D21" s="88"/>
      <c r="E21" s="88"/>
      <c r="F21" s="88"/>
      <c r="G21" s="88"/>
      <c r="H21" s="88"/>
      <c r="I21" s="88"/>
      <c r="J21" s="88"/>
      <c r="K21" s="88"/>
      <c r="L21" s="88"/>
    </row>
    <row r="22" spans="1:15" ht="11.25">
      <c r="A22" s="88"/>
      <c r="B22" s="88"/>
      <c r="C22" s="88"/>
      <c r="D22" s="88"/>
      <c r="E22" s="88"/>
      <c r="F22" s="88"/>
      <c r="G22" s="88"/>
      <c r="H22" s="88"/>
      <c r="I22" s="88"/>
      <c r="J22" s="88"/>
      <c r="K22" s="88"/>
      <c r="L22" s="88"/>
    </row>
    <row r="23" spans="1:15" ht="11.25">
      <c r="A23" s="88"/>
      <c r="B23" s="88"/>
      <c r="C23" s="88"/>
      <c r="D23" s="88"/>
      <c r="E23" s="88"/>
      <c r="F23" s="88"/>
      <c r="G23" s="88"/>
      <c r="H23" s="88"/>
      <c r="I23" s="88"/>
      <c r="J23" s="88"/>
      <c r="K23" s="88"/>
      <c r="L23" s="88"/>
    </row>
    <row r="24" spans="1:15" ht="11.25">
      <c r="A24" s="88"/>
      <c r="B24" s="88"/>
      <c r="C24" s="88"/>
      <c r="D24" s="88"/>
      <c r="E24" s="88"/>
      <c r="F24" s="88"/>
      <c r="G24" s="88"/>
      <c r="H24" s="88"/>
      <c r="I24" s="88"/>
      <c r="J24" s="88"/>
      <c r="K24" s="88"/>
      <c r="L24" s="88"/>
    </row>
    <row r="25" spans="1:15" ht="11.25">
      <c r="A25" s="88"/>
      <c r="B25" s="88"/>
      <c r="C25" s="88"/>
      <c r="D25" s="88"/>
      <c r="E25" s="88"/>
      <c r="F25" s="88"/>
      <c r="G25" s="88"/>
      <c r="H25" s="88"/>
      <c r="I25" s="88"/>
      <c r="J25" s="88"/>
      <c r="K25" s="88"/>
      <c r="L25" s="88"/>
    </row>
    <row r="26" spans="1:15" ht="11.25">
      <c r="A26" s="88"/>
      <c r="B26" s="88"/>
      <c r="C26" s="88"/>
      <c r="D26" s="88"/>
      <c r="E26" s="88"/>
      <c r="F26" s="88"/>
      <c r="G26" s="88"/>
      <c r="H26" s="88"/>
      <c r="I26" s="88"/>
      <c r="J26" s="88"/>
      <c r="K26" s="88"/>
      <c r="L26" s="88"/>
    </row>
    <row r="27" spans="1:15" ht="11.25">
      <c r="A27" s="88"/>
      <c r="B27" s="88"/>
      <c r="C27" s="88"/>
      <c r="D27" s="88"/>
      <c r="E27" s="88"/>
      <c r="F27" s="88"/>
      <c r="G27" s="88"/>
      <c r="H27" s="88"/>
      <c r="I27" s="88"/>
      <c r="J27" s="88"/>
      <c r="K27" s="88"/>
      <c r="L27" s="88"/>
    </row>
    <row r="28" spans="1:15" ht="11.25">
      <c r="A28" s="156" t="s">
        <v>1908</v>
      </c>
      <c r="B28" s="88"/>
      <c r="C28" s="88"/>
      <c r="D28" s="88"/>
      <c r="E28" s="88"/>
      <c r="F28" s="88"/>
      <c r="G28" s="88"/>
      <c r="H28" s="88"/>
      <c r="I28" s="88"/>
      <c r="J28" s="156" t="s">
        <v>1907</v>
      </c>
      <c r="K28" s="88"/>
      <c r="L28" s="88"/>
    </row>
    <row r="29" spans="1:15" ht="11.25">
      <c r="A29" s="88"/>
      <c r="B29" s="88"/>
      <c r="C29" s="88"/>
      <c r="D29" s="88"/>
      <c r="E29" s="88"/>
      <c r="F29" s="88"/>
      <c r="G29" s="88"/>
      <c r="H29" s="88"/>
      <c r="I29" s="88"/>
      <c r="J29" s="88"/>
      <c r="K29" s="88"/>
      <c r="L29" s="88"/>
      <c r="O29" s="37"/>
    </row>
    <row r="30" spans="1:15" ht="11.25">
      <c r="A30" s="88"/>
      <c r="B30" s="88"/>
      <c r="C30" s="88"/>
      <c r="D30" s="88"/>
      <c r="E30" s="88"/>
      <c r="F30" s="186"/>
      <c r="G30" s="88"/>
      <c r="H30" s="88"/>
      <c r="I30" s="88"/>
      <c r="J30" s="88"/>
      <c r="K30" s="88"/>
      <c r="L30" s="88"/>
    </row>
    <row r="31" spans="1:15" ht="11.25">
      <c r="A31" s="88"/>
      <c r="B31" s="88"/>
      <c r="C31" s="88"/>
      <c r="D31" s="88"/>
      <c r="E31" s="88"/>
      <c r="F31" s="88"/>
      <c r="G31" s="88"/>
      <c r="H31" s="88"/>
      <c r="I31" s="88"/>
      <c r="J31" s="88"/>
      <c r="K31" s="88"/>
      <c r="L31" s="88"/>
    </row>
    <row r="32" spans="1:15" ht="11.25">
      <c r="A32" s="88"/>
      <c r="B32" s="88"/>
      <c r="C32" s="88"/>
      <c r="D32" s="88"/>
      <c r="E32" s="88"/>
      <c r="F32" s="88"/>
      <c r="G32" s="88"/>
      <c r="H32" s="88"/>
      <c r="I32" s="88"/>
      <c r="J32" s="88"/>
      <c r="K32" s="88"/>
      <c r="L32" s="88"/>
    </row>
    <row r="33" spans="1:12" ht="11.25">
      <c r="A33" s="88"/>
      <c r="B33" s="88"/>
      <c r="C33" s="88"/>
      <c r="D33" s="88"/>
      <c r="E33" s="88"/>
      <c r="F33" s="88"/>
      <c r="G33" s="88"/>
      <c r="H33" s="88"/>
      <c r="I33" s="88"/>
      <c r="J33" s="88"/>
      <c r="K33" s="88"/>
      <c r="L33" s="88"/>
    </row>
    <row r="34" spans="1:12" ht="11.25">
      <c r="A34" s="88"/>
      <c r="B34" s="88"/>
      <c r="C34" s="88"/>
      <c r="D34" s="88"/>
      <c r="E34" s="88"/>
      <c r="F34" s="88"/>
      <c r="G34" s="88"/>
      <c r="H34" s="88"/>
      <c r="I34" s="88"/>
      <c r="J34" s="88"/>
      <c r="K34" s="88"/>
      <c r="L34" s="88"/>
    </row>
    <row r="35" spans="1:12" ht="11.25">
      <c r="A35" s="88"/>
      <c r="B35" s="88"/>
      <c r="C35" s="88"/>
      <c r="D35" s="88"/>
      <c r="E35" s="88"/>
      <c r="F35" s="88"/>
      <c r="G35" s="88"/>
      <c r="H35" s="88"/>
      <c r="I35" s="88"/>
      <c r="J35" s="88"/>
      <c r="K35" s="88"/>
      <c r="L35" s="88"/>
    </row>
    <row r="36" spans="1:12" ht="11.25">
      <c r="A36" s="88"/>
      <c r="B36" s="88"/>
      <c r="C36" s="88"/>
      <c r="D36" s="88"/>
      <c r="E36" s="88"/>
      <c r="F36" s="88"/>
      <c r="G36" s="88"/>
      <c r="H36" s="88"/>
      <c r="I36" s="88"/>
      <c r="J36" s="88"/>
      <c r="K36" s="88"/>
      <c r="L36" s="88"/>
    </row>
    <row r="37" spans="1:12" ht="11.25">
      <c r="A37" s="88"/>
      <c r="B37" s="88"/>
      <c r="C37" s="88"/>
      <c r="D37" s="88"/>
      <c r="E37" s="88"/>
      <c r="F37" s="88"/>
      <c r="G37" s="88"/>
      <c r="H37" s="88"/>
      <c r="I37" s="88"/>
      <c r="J37" s="88"/>
      <c r="K37" s="88"/>
      <c r="L37" s="88"/>
    </row>
    <row r="38" spans="1:12" ht="11.25">
      <c r="A38" s="88"/>
      <c r="B38" s="88"/>
      <c r="C38" s="88"/>
      <c r="D38" s="88"/>
      <c r="E38" s="88"/>
      <c r="F38" s="88"/>
      <c r="G38" s="88"/>
      <c r="H38" s="88"/>
      <c r="I38" s="88"/>
      <c r="J38" s="88"/>
      <c r="K38" s="88"/>
      <c r="L38" s="88"/>
    </row>
    <row r="39" spans="1:12" ht="11.25">
      <c r="A39" s="88"/>
      <c r="B39" s="88"/>
      <c r="C39" s="88"/>
      <c r="D39" s="88"/>
      <c r="E39" s="88"/>
      <c r="F39" s="88"/>
      <c r="G39" s="88"/>
      <c r="H39" s="88"/>
      <c r="I39" s="88"/>
      <c r="J39" s="88"/>
      <c r="K39" s="88"/>
      <c r="L39" s="88"/>
    </row>
    <row r="40" spans="1:12" ht="11.25">
      <c r="A40" s="88"/>
      <c r="B40" s="88"/>
      <c r="C40" s="88"/>
      <c r="D40" s="88"/>
      <c r="E40" s="88"/>
      <c r="F40" s="88"/>
      <c r="G40" s="88"/>
      <c r="H40" s="88"/>
      <c r="I40" s="88"/>
      <c r="J40" s="88"/>
      <c r="K40" s="88"/>
      <c r="L40" s="88"/>
    </row>
    <row r="41" spans="1:12" ht="11.25">
      <c r="A41" s="88"/>
      <c r="B41" s="88"/>
      <c r="C41" s="88"/>
      <c r="D41" s="88"/>
      <c r="E41" s="88"/>
      <c r="F41" s="88"/>
      <c r="G41" s="88"/>
      <c r="H41" s="88"/>
      <c r="I41" s="88"/>
      <c r="J41" s="88"/>
      <c r="K41" s="88"/>
      <c r="L41" s="88"/>
    </row>
    <row r="42" spans="1:12" ht="11.25">
      <c r="A42" s="88"/>
      <c r="B42" s="88"/>
      <c r="C42" s="88"/>
      <c r="D42" s="88"/>
      <c r="E42" s="88"/>
      <c r="F42" s="88"/>
      <c r="G42" s="88"/>
      <c r="H42" s="88"/>
      <c r="I42" s="88"/>
      <c r="J42" s="88"/>
      <c r="K42" s="88"/>
      <c r="L42" s="88"/>
    </row>
    <row r="43" spans="1:12" ht="11.25">
      <c r="A43" s="88"/>
      <c r="B43" s="88"/>
      <c r="C43" s="88"/>
      <c r="D43" s="88"/>
      <c r="E43" s="88"/>
      <c r="F43" s="88"/>
      <c r="G43" s="88"/>
      <c r="H43" s="88"/>
      <c r="I43" s="88"/>
      <c r="J43" s="88"/>
      <c r="K43" s="88"/>
      <c r="L43" s="88"/>
    </row>
    <row r="44" spans="1:12" ht="11.25">
      <c r="A44" s="88"/>
      <c r="B44" s="88"/>
      <c r="C44" s="88"/>
      <c r="D44" s="88"/>
      <c r="E44" s="88"/>
      <c r="F44" s="88"/>
      <c r="G44" s="88"/>
      <c r="H44" s="88"/>
      <c r="I44" s="88"/>
      <c r="J44" s="88"/>
      <c r="K44" s="88"/>
      <c r="L44" s="88"/>
    </row>
    <row r="45" spans="1:12" ht="11.25">
      <c r="A45" s="88"/>
      <c r="B45" s="88"/>
      <c r="C45" s="88"/>
      <c r="D45" s="88"/>
      <c r="E45" s="88"/>
      <c r="F45" s="88"/>
      <c r="G45" s="88"/>
      <c r="H45" s="88"/>
      <c r="I45" s="88"/>
      <c r="J45" s="88"/>
      <c r="K45" s="88"/>
      <c r="L45" s="88"/>
    </row>
    <row r="46" spans="1:12" ht="11.25">
      <c r="A46" s="88"/>
      <c r="B46" s="88"/>
      <c r="C46" s="88"/>
      <c r="D46" s="88"/>
      <c r="E46" s="88"/>
      <c r="F46" s="88"/>
      <c r="G46" s="88"/>
      <c r="H46" s="88"/>
      <c r="I46" s="88"/>
      <c r="J46" s="88"/>
      <c r="K46" s="88"/>
      <c r="L46" s="88"/>
    </row>
    <row r="47" spans="1:12" ht="11.25">
      <c r="A47" s="156" t="s">
        <v>2281</v>
      </c>
      <c r="B47" s="88"/>
      <c r="C47" s="88"/>
      <c r="D47" s="88"/>
      <c r="E47" s="88"/>
      <c r="F47" s="88"/>
      <c r="G47" s="88"/>
      <c r="H47" s="88"/>
      <c r="I47" s="88"/>
      <c r="J47" s="88"/>
      <c r="K47" s="88"/>
      <c r="L47" s="88"/>
    </row>
    <row r="48" spans="1:12" ht="11.25">
      <c r="A48" s="88"/>
      <c r="B48" s="205"/>
      <c r="C48" s="205"/>
      <c r="D48" s="205"/>
      <c r="E48" s="205"/>
      <c r="F48" s="205"/>
      <c r="G48" s="205"/>
      <c r="H48" s="205"/>
      <c r="I48" s="205"/>
      <c r="J48" s="205"/>
      <c r="K48" s="205"/>
      <c r="L48" s="88"/>
    </row>
    <row r="49" spans="2:11" s="24" customFormat="1"/>
    <row r="51" spans="2:11">
      <c r="B51" s="206"/>
      <c r="C51" s="206"/>
      <c r="D51" s="206"/>
      <c r="E51" s="206"/>
      <c r="F51" s="206"/>
      <c r="G51" s="206"/>
      <c r="H51" s="206"/>
      <c r="I51" s="206"/>
      <c r="J51" s="206"/>
      <c r="K51" s="206"/>
    </row>
  </sheetData>
  <mergeCells count="2">
    <mergeCell ref="B51:K51"/>
    <mergeCell ref="B48:K48"/>
  </mergeCells>
  <pageMargins left="0.7" right="0.7" top="0.75" bottom="0.75" header="0.3" footer="0.3"/>
  <pageSetup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9:P49"/>
  <sheetViews>
    <sheetView zoomScale="85" zoomScaleNormal="85" workbookViewId="0">
      <selection activeCell="T27" sqref="T27"/>
    </sheetView>
  </sheetViews>
  <sheetFormatPr defaultColWidth="8.85546875" defaultRowHeight="10.5"/>
  <cols>
    <col min="1" max="1" width="10.42578125" style="9" customWidth="1"/>
    <col min="2" max="16384" width="8.85546875" style="9"/>
  </cols>
  <sheetData>
    <row r="9" spans="1:11" ht="15">
      <c r="A9" s="76" t="s">
        <v>692</v>
      </c>
    </row>
    <row r="10" spans="1:11" ht="11.25">
      <c r="A10" s="77" t="s">
        <v>125</v>
      </c>
      <c r="B10" s="88"/>
      <c r="C10" s="88"/>
      <c r="D10" s="88"/>
      <c r="E10" s="88"/>
      <c r="F10" s="88"/>
      <c r="G10" s="88"/>
      <c r="H10" s="88"/>
      <c r="I10" s="88"/>
      <c r="J10" s="88"/>
      <c r="K10" s="88"/>
    </row>
    <row r="11" spans="1:11" ht="11.25">
      <c r="A11" s="88"/>
      <c r="B11" s="88"/>
      <c r="C11" s="88"/>
      <c r="D11" s="88"/>
      <c r="E11" s="88"/>
      <c r="F11" s="88"/>
      <c r="G11" s="88"/>
      <c r="H11" s="88"/>
      <c r="I11" s="88"/>
      <c r="J11" s="88"/>
      <c r="K11" s="88"/>
    </row>
    <row r="12" spans="1:11" ht="11.25">
      <c r="A12" s="188" t="s">
        <v>1906</v>
      </c>
      <c r="B12" s="88"/>
      <c r="C12" s="88"/>
      <c r="D12" s="88"/>
      <c r="E12" s="88"/>
      <c r="F12" s="88"/>
      <c r="G12" s="88"/>
      <c r="H12" s="88"/>
      <c r="I12" s="88"/>
      <c r="J12" s="188" t="s">
        <v>1905</v>
      </c>
      <c r="K12" s="88"/>
    </row>
    <row r="13" spans="1:11" ht="11.25">
      <c r="A13" s="88"/>
      <c r="B13" s="88"/>
      <c r="C13" s="88"/>
      <c r="D13" s="88"/>
      <c r="E13" s="88"/>
      <c r="F13" s="88"/>
      <c r="G13" s="88"/>
      <c r="H13" s="88"/>
      <c r="I13" s="88"/>
      <c r="J13" s="88"/>
      <c r="K13" s="88"/>
    </row>
    <row r="14" spans="1:11" ht="11.25">
      <c r="A14" s="88"/>
      <c r="B14" s="88"/>
      <c r="C14" s="88"/>
      <c r="D14" s="88"/>
      <c r="E14" s="88"/>
      <c r="F14" s="88"/>
      <c r="G14" s="88"/>
      <c r="H14" s="88"/>
      <c r="I14" s="88"/>
      <c r="J14" s="88"/>
      <c r="K14" s="88"/>
    </row>
    <row r="15" spans="1:11" ht="11.25">
      <c r="A15" s="88"/>
      <c r="B15" s="88"/>
      <c r="C15" s="88"/>
      <c r="D15" s="88"/>
      <c r="E15" s="88"/>
      <c r="F15" s="88"/>
      <c r="G15" s="88"/>
      <c r="H15" s="88"/>
      <c r="I15" s="88"/>
      <c r="J15" s="88"/>
      <c r="K15" s="88"/>
    </row>
    <row r="16" spans="1:11" ht="11.25">
      <c r="A16" s="88"/>
      <c r="B16" s="88"/>
      <c r="C16" s="88"/>
      <c r="D16" s="88"/>
      <c r="E16" s="88"/>
      <c r="F16" s="88"/>
      <c r="G16" s="88"/>
      <c r="H16" s="88"/>
      <c r="I16" s="88"/>
      <c r="J16" s="88"/>
      <c r="K16" s="88"/>
    </row>
    <row r="17" spans="1:11" ht="11.25">
      <c r="A17" s="88"/>
      <c r="B17" s="88"/>
      <c r="C17" s="88"/>
      <c r="D17" s="88"/>
      <c r="E17" s="88"/>
      <c r="F17" s="88"/>
      <c r="G17" s="88"/>
      <c r="H17" s="88"/>
      <c r="I17" s="88"/>
      <c r="J17" s="88"/>
      <c r="K17" s="88"/>
    </row>
    <row r="18" spans="1:11" ht="11.25">
      <c r="A18" s="88"/>
      <c r="B18" s="88"/>
      <c r="C18" s="88"/>
      <c r="D18" s="88"/>
      <c r="E18" s="88"/>
      <c r="F18" s="88"/>
      <c r="G18" s="88"/>
      <c r="H18" s="88"/>
      <c r="I18" s="88"/>
      <c r="J18" s="88"/>
      <c r="K18" s="88"/>
    </row>
    <row r="19" spans="1:11" ht="11.25">
      <c r="A19" s="88"/>
      <c r="B19" s="88"/>
      <c r="C19" s="88"/>
      <c r="D19" s="88"/>
      <c r="E19" s="88"/>
      <c r="F19" s="88"/>
      <c r="G19" s="88"/>
      <c r="H19" s="88"/>
      <c r="I19" s="88"/>
      <c r="J19" s="88"/>
      <c r="K19" s="88"/>
    </row>
    <row r="20" spans="1:11" ht="11.25">
      <c r="A20" s="88"/>
      <c r="B20" s="88"/>
      <c r="C20" s="88"/>
      <c r="D20" s="88"/>
      <c r="E20" s="88"/>
      <c r="F20" s="88"/>
      <c r="G20" s="88"/>
      <c r="H20" s="88"/>
      <c r="I20" s="88"/>
      <c r="J20" s="88"/>
      <c r="K20" s="88"/>
    </row>
    <row r="21" spans="1:11" ht="11.25">
      <c r="A21" s="88"/>
      <c r="B21" s="88"/>
      <c r="C21" s="88"/>
      <c r="D21" s="88"/>
      <c r="E21" s="88"/>
      <c r="F21" s="88"/>
      <c r="G21" s="88"/>
      <c r="H21" s="88"/>
      <c r="I21" s="88"/>
      <c r="J21" s="88"/>
      <c r="K21" s="88"/>
    </row>
    <row r="22" spans="1:11" ht="11.25">
      <c r="A22" s="88"/>
      <c r="B22" s="88"/>
      <c r="C22" s="88"/>
      <c r="D22" s="88"/>
      <c r="E22" s="88"/>
      <c r="F22" s="88"/>
      <c r="G22" s="88"/>
      <c r="H22" s="88"/>
      <c r="I22" s="88"/>
      <c r="J22" s="88"/>
      <c r="K22" s="88"/>
    </row>
    <row r="23" spans="1:11" ht="11.25">
      <c r="A23" s="88"/>
      <c r="B23" s="88"/>
      <c r="C23" s="88"/>
      <c r="D23" s="88"/>
      <c r="E23" s="88"/>
      <c r="F23" s="88"/>
      <c r="G23" s="88"/>
      <c r="H23" s="88"/>
      <c r="I23" s="88"/>
      <c r="J23" s="88"/>
      <c r="K23" s="88"/>
    </row>
    <row r="24" spans="1:11" ht="11.25">
      <c r="A24" s="88"/>
      <c r="B24" s="88"/>
      <c r="C24" s="88"/>
      <c r="D24" s="88"/>
      <c r="E24" s="88"/>
      <c r="F24" s="88"/>
      <c r="G24" s="88"/>
      <c r="H24" s="88"/>
      <c r="I24" s="88"/>
      <c r="J24" s="88"/>
      <c r="K24" s="88"/>
    </row>
    <row r="25" spans="1:11" ht="11.25">
      <c r="A25" s="88"/>
      <c r="B25" s="88"/>
      <c r="C25" s="88"/>
      <c r="D25" s="88"/>
      <c r="E25" s="88"/>
      <c r="F25" s="88"/>
      <c r="G25" s="88"/>
      <c r="H25" s="88"/>
      <c r="I25" s="88"/>
      <c r="J25" s="88"/>
      <c r="K25" s="88"/>
    </row>
    <row r="26" spans="1:11" ht="11.25">
      <c r="A26" s="88"/>
      <c r="B26" s="88"/>
      <c r="C26" s="88"/>
      <c r="D26" s="88"/>
      <c r="E26" s="88"/>
      <c r="F26" s="88"/>
      <c r="G26" s="88"/>
      <c r="H26" s="88"/>
      <c r="I26" s="88"/>
      <c r="J26" s="88"/>
      <c r="K26" s="88"/>
    </row>
    <row r="27" spans="1:11" ht="11.25">
      <c r="A27" s="88"/>
      <c r="B27" s="88"/>
      <c r="C27" s="88"/>
      <c r="D27" s="88"/>
      <c r="E27" s="88"/>
      <c r="F27" s="88"/>
      <c r="G27" s="88"/>
      <c r="H27" s="88"/>
      <c r="I27" s="88"/>
      <c r="J27" s="88"/>
      <c r="K27" s="88"/>
    </row>
    <row r="28" spans="1:11" ht="11.25">
      <c r="A28" s="188" t="s">
        <v>1904</v>
      </c>
      <c r="B28" s="88"/>
      <c r="C28" s="88"/>
      <c r="D28" s="88"/>
      <c r="E28" s="88"/>
      <c r="F28" s="88"/>
      <c r="G28" s="88"/>
      <c r="H28" s="88"/>
      <c r="I28" s="88"/>
      <c r="J28" s="188" t="s">
        <v>1903</v>
      </c>
      <c r="K28" s="88"/>
    </row>
    <row r="29" spans="1:11" ht="11.25">
      <c r="A29" s="88"/>
      <c r="B29" s="88"/>
      <c r="C29" s="88"/>
      <c r="D29" s="88"/>
      <c r="E29" s="88"/>
      <c r="F29" s="88"/>
      <c r="G29" s="88"/>
      <c r="H29" s="88"/>
      <c r="I29" s="88"/>
      <c r="J29" s="88"/>
      <c r="K29" s="88"/>
    </row>
    <row r="30" spans="1:11" ht="11.25">
      <c r="A30" s="88"/>
      <c r="B30" s="88"/>
      <c r="C30" s="88"/>
      <c r="D30" s="88"/>
      <c r="E30" s="88"/>
      <c r="F30" s="88"/>
      <c r="G30" s="88"/>
      <c r="H30" s="88"/>
      <c r="I30" s="88"/>
      <c r="J30" s="88"/>
      <c r="K30" s="88"/>
    </row>
    <row r="31" spans="1:11" ht="11.25">
      <c r="A31" s="88"/>
      <c r="B31" s="88"/>
      <c r="C31" s="88"/>
      <c r="D31" s="88"/>
      <c r="E31" s="88"/>
      <c r="F31" s="88"/>
      <c r="G31" s="88"/>
      <c r="H31" s="88"/>
      <c r="I31" s="88"/>
      <c r="J31" s="88"/>
      <c r="K31" s="88"/>
    </row>
    <row r="32" spans="1:11" ht="14.25">
      <c r="A32" s="88"/>
      <c r="B32" s="88"/>
      <c r="C32" s="88"/>
      <c r="D32" s="88"/>
      <c r="E32" s="88"/>
      <c r="F32" s="88"/>
      <c r="G32" s="88"/>
      <c r="H32" s="88"/>
      <c r="I32" s="88"/>
      <c r="J32" s="159"/>
      <c r="K32" s="88"/>
    </row>
    <row r="33" spans="1:11" ht="11.25">
      <c r="A33" s="88"/>
      <c r="B33" s="88"/>
      <c r="C33" s="88"/>
      <c r="D33" s="88"/>
      <c r="E33" s="88"/>
      <c r="F33" s="88"/>
      <c r="G33" s="88"/>
      <c r="H33" s="88"/>
      <c r="I33" s="88"/>
      <c r="J33" s="88"/>
      <c r="K33" s="88"/>
    </row>
    <row r="34" spans="1:11" ht="11.25">
      <c r="A34" s="88"/>
      <c r="B34" s="88"/>
      <c r="C34" s="88"/>
      <c r="D34" s="88"/>
      <c r="E34" s="88"/>
      <c r="F34" s="88"/>
      <c r="G34" s="88"/>
      <c r="H34" s="88"/>
      <c r="I34" s="88"/>
      <c r="J34" s="88"/>
      <c r="K34" s="88"/>
    </row>
    <row r="35" spans="1:11" ht="11.25">
      <c r="A35" s="88"/>
      <c r="B35" s="88"/>
      <c r="C35" s="88"/>
      <c r="D35" s="88"/>
      <c r="E35" s="88"/>
      <c r="F35" s="88"/>
      <c r="G35" s="88"/>
      <c r="H35" s="88"/>
      <c r="I35" s="88"/>
      <c r="J35" s="88"/>
      <c r="K35" s="88"/>
    </row>
    <row r="36" spans="1:11" ht="11.25">
      <c r="A36" s="88"/>
      <c r="B36" s="88"/>
      <c r="C36" s="88"/>
      <c r="D36" s="88"/>
      <c r="E36" s="88"/>
      <c r="F36" s="88"/>
      <c r="G36" s="88"/>
      <c r="H36" s="88"/>
      <c r="I36" s="88"/>
      <c r="J36" s="88"/>
      <c r="K36" s="88"/>
    </row>
    <row r="37" spans="1:11" ht="11.25">
      <c r="A37" s="88"/>
      <c r="B37" s="88"/>
      <c r="C37" s="88"/>
      <c r="D37" s="88"/>
      <c r="E37" s="88"/>
      <c r="F37" s="88"/>
      <c r="G37" s="88"/>
      <c r="H37" s="88"/>
      <c r="I37" s="88"/>
      <c r="J37" s="88"/>
      <c r="K37" s="88"/>
    </row>
    <row r="38" spans="1:11" ht="11.25">
      <c r="A38" s="88"/>
      <c r="B38" s="88"/>
      <c r="C38" s="88"/>
      <c r="D38" s="88"/>
      <c r="E38" s="88"/>
      <c r="F38" s="88"/>
      <c r="G38" s="88"/>
      <c r="H38" s="88"/>
      <c r="I38" s="88"/>
      <c r="J38" s="88"/>
      <c r="K38" s="88"/>
    </row>
    <row r="39" spans="1:11" ht="11.25">
      <c r="A39" s="88"/>
      <c r="B39" s="88"/>
      <c r="C39" s="88"/>
      <c r="D39" s="88"/>
      <c r="E39" s="88"/>
      <c r="F39" s="88"/>
      <c r="G39" s="88"/>
      <c r="H39" s="88"/>
      <c r="I39" s="88"/>
      <c r="J39" s="88"/>
      <c r="K39" s="88"/>
    </row>
    <row r="40" spans="1:11" ht="11.25">
      <c r="A40" s="88"/>
      <c r="B40" s="88"/>
      <c r="C40" s="88"/>
      <c r="D40" s="88"/>
      <c r="E40" s="88"/>
      <c r="F40" s="88"/>
      <c r="G40" s="88"/>
      <c r="H40" s="88"/>
      <c r="I40" s="88"/>
      <c r="J40" s="88"/>
      <c r="K40" s="88"/>
    </row>
    <row r="41" spans="1:11" ht="11.25">
      <c r="A41" s="88"/>
      <c r="B41" s="88"/>
      <c r="C41" s="88"/>
      <c r="D41" s="88"/>
      <c r="E41" s="88"/>
      <c r="F41" s="88"/>
      <c r="G41" s="88"/>
      <c r="H41" s="88"/>
      <c r="I41" s="88"/>
      <c r="J41" s="88"/>
      <c r="K41" s="88"/>
    </row>
    <row r="42" spans="1:11" ht="11.25">
      <c r="A42" s="88"/>
      <c r="B42" s="88"/>
      <c r="C42" s="88"/>
      <c r="D42" s="88"/>
      <c r="E42" s="88"/>
      <c r="F42" s="88"/>
      <c r="G42" s="88"/>
      <c r="H42" s="88"/>
      <c r="I42" s="88"/>
      <c r="J42" s="88"/>
      <c r="K42" s="88"/>
    </row>
    <row r="43" spans="1:11" ht="11.25">
      <c r="A43" s="88"/>
      <c r="B43" s="88"/>
      <c r="C43" s="88"/>
      <c r="D43" s="88"/>
      <c r="E43" s="88"/>
      <c r="F43" s="88"/>
      <c r="G43" s="88"/>
      <c r="H43" s="88"/>
      <c r="I43" s="88"/>
      <c r="J43" s="88"/>
      <c r="K43" s="88"/>
    </row>
    <row r="44" spans="1:11" ht="11.25">
      <c r="A44" s="88"/>
      <c r="B44" s="88"/>
      <c r="C44" s="88"/>
      <c r="D44" s="88"/>
      <c r="E44" s="88"/>
      <c r="F44" s="88"/>
      <c r="G44" s="88"/>
      <c r="H44" s="88"/>
      <c r="I44" s="88"/>
      <c r="J44" s="88"/>
      <c r="K44" s="88"/>
    </row>
    <row r="45" spans="1:11" ht="11.25">
      <c r="A45" s="88"/>
      <c r="B45" s="88"/>
      <c r="C45" s="88"/>
      <c r="D45" s="88"/>
      <c r="E45" s="88"/>
      <c r="F45" s="88"/>
      <c r="G45" s="88"/>
      <c r="H45" s="88"/>
      <c r="I45" s="88"/>
      <c r="J45" s="88"/>
      <c r="K45" s="88"/>
    </row>
    <row r="46" spans="1:11" ht="11.25">
      <c r="A46" s="156" t="s">
        <v>2283</v>
      </c>
      <c r="B46" s="88"/>
      <c r="C46" s="88"/>
      <c r="D46" s="88"/>
      <c r="E46" s="88"/>
      <c r="F46" s="88"/>
      <c r="G46" s="88"/>
      <c r="H46" s="88"/>
      <c r="I46" s="88"/>
      <c r="J46" s="88"/>
      <c r="K46" s="88"/>
    </row>
    <row r="49" spans="8:16">
      <c r="H49" s="37"/>
      <c r="P49" s="37"/>
    </row>
  </sheetData>
  <pageMargins left="0.7" right="0.7" top="0.75" bottom="0.75" header="0.3" footer="0.3"/>
  <pageSetup scale="6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8:AC80"/>
  <sheetViews>
    <sheetView topLeftCell="A7" zoomScale="55" zoomScaleNormal="55" workbookViewId="0">
      <selection activeCell="D66" sqref="D66"/>
    </sheetView>
  </sheetViews>
  <sheetFormatPr defaultColWidth="8.85546875" defaultRowHeight="12.6" customHeight="1"/>
  <cols>
    <col min="1" max="1" width="17.42578125" style="9" customWidth="1"/>
    <col min="2" max="2" width="2" style="9" customWidth="1"/>
    <col min="3" max="5" width="8" style="9" customWidth="1"/>
    <col min="6" max="6" width="2" style="9" customWidth="1"/>
    <col min="7" max="9" width="7.85546875" style="9" customWidth="1"/>
    <col min="10" max="10" width="2" style="9" customWidth="1"/>
    <col min="11" max="13" width="7.85546875" style="9" customWidth="1"/>
    <col min="14" max="14" width="1.85546875" style="9" customWidth="1"/>
    <col min="15" max="17" width="7.85546875" style="9" customWidth="1"/>
    <col min="18" max="18" width="1.85546875" style="9" customWidth="1"/>
    <col min="19" max="21" width="7.85546875" style="9" customWidth="1"/>
    <col min="22" max="22" width="1.85546875" style="9" customWidth="1"/>
    <col min="23" max="23" width="7.85546875" style="9" customWidth="1"/>
    <col min="24" max="25" width="7.5703125" style="9" customWidth="1"/>
    <col min="26" max="26" width="1.85546875" style="9" customWidth="1"/>
    <col min="27" max="39" width="7.5703125" style="9" customWidth="1"/>
    <col min="40" max="16384" width="8.85546875" style="9"/>
  </cols>
  <sheetData>
    <row r="8" spans="1:29" ht="12.6" customHeight="1">
      <c r="A8" s="76" t="s">
        <v>0</v>
      </c>
      <c r="B8" s="34"/>
      <c r="C8" s="34"/>
      <c r="D8" s="34"/>
      <c r="E8" s="34"/>
      <c r="F8" s="34"/>
      <c r="G8" s="34"/>
      <c r="H8" s="34"/>
      <c r="I8" s="34"/>
      <c r="J8" s="34"/>
      <c r="K8" s="34"/>
      <c r="L8" s="34"/>
      <c r="M8" s="34"/>
      <c r="N8" s="34"/>
      <c r="O8" s="34"/>
      <c r="P8" s="34"/>
      <c r="Q8" s="34"/>
      <c r="R8" s="34"/>
      <c r="S8" s="34"/>
      <c r="T8" s="34"/>
      <c r="U8" s="34"/>
      <c r="V8" s="34"/>
    </row>
    <row r="9" spans="1:29" ht="12.6" customHeight="1">
      <c r="A9" s="77" t="s">
        <v>3</v>
      </c>
      <c r="B9" s="10"/>
      <c r="C9" s="10"/>
      <c r="D9" s="10"/>
      <c r="E9" s="10"/>
      <c r="F9" s="10"/>
      <c r="G9" s="10"/>
      <c r="H9" s="10"/>
      <c r="I9" s="10"/>
      <c r="J9" s="10"/>
      <c r="K9" s="10"/>
      <c r="L9" s="10"/>
      <c r="M9" s="10"/>
      <c r="N9" s="10"/>
      <c r="O9" s="10"/>
      <c r="P9" s="10"/>
      <c r="Q9" s="10"/>
      <c r="R9" s="10"/>
      <c r="S9" s="10"/>
      <c r="T9" s="10"/>
      <c r="U9" s="10"/>
      <c r="V9" s="10"/>
    </row>
    <row r="10" spans="1:29" ht="12.6" customHeight="1">
      <c r="A10" s="10"/>
      <c r="B10" s="10"/>
      <c r="C10" s="10"/>
      <c r="D10" s="10"/>
      <c r="E10" s="10"/>
      <c r="F10" s="10"/>
      <c r="G10" s="10"/>
      <c r="H10" s="10"/>
      <c r="I10" s="10"/>
      <c r="J10" s="10"/>
      <c r="K10" s="10"/>
      <c r="L10" s="10"/>
      <c r="M10" s="10"/>
      <c r="N10" s="10"/>
      <c r="O10" s="10"/>
      <c r="P10" s="10"/>
      <c r="Q10" s="10"/>
      <c r="R10" s="10"/>
      <c r="S10" s="10"/>
      <c r="T10" s="10"/>
      <c r="U10" s="10"/>
      <c r="V10" s="10"/>
    </row>
    <row r="11" spans="1:29" ht="12.6" customHeight="1">
      <c r="A11" s="30" t="s">
        <v>1656</v>
      </c>
      <c r="B11" s="30"/>
      <c r="C11" s="30"/>
      <c r="D11" s="30"/>
      <c r="E11" s="30"/>
      <c r="F11" s="30"/>
      <c r="G11" s="30"/>
      <c r="H11" s="30"/>
      <c r="I11" s="30"/>
      <c r="J11" s="30"/>
      <c r="K11" s="30"/>
      <c r="L11" s="30"/>
      <c r="M11" s="30"/>
      <c r="N11" s="30"/>
      <c r="O11" s="30"/>
      <c r="P11" s="30"/>
      <c r="Q11" s="30"/>
      <c r="R11" s="30"/>
      <c r="S11" s="30"/>
      <c r="T11" s="30"/>
      <c r="U11" s="30"/>
      <c r="V11" s="30"/>
    </row>
    <row r="12" spans="1:29" ht="12.6" customHeight="1">
      <c r="A12" s="30"/>
      <c r="B12" s="30"/>
      <c r="C12" s="30"/>
      <c r="D12" s="30"/>
      <c r="E12" s="30"/>
      <c r="F12" s="30"/>
      <c r="G12" s="30"/>
      <c r="H12" s="30"/>
      <c r="I12" s="30"/>
      <c r="J12" s="30"/>
      <c r="K12" s="30"/>
      <c r="L12" s="30"/>
      <c r="M12" s="30"/>
      <c r="N12" s="30"/>
      <c r="O12" s="30"/>
      <c r="P12" s="30"/>
      <c r="Q12" s="30"/>
      <c r="R12" s="30"/>
      <c r="S12" s="30"/>
      <c r="T12" s="30"/>
      <c r="U12" s="30"/>
      <c r="V12" s="30"/>
    </row>
    <row r="13" spans="1:29" ht="12.6" customHeight="1">
      <c r="A13" s="188"/>
      <c r="B13" s="88"/>
      <c r="C13" s="207">
        <v>2024</v>
      </c>
      <c r="D13" s="208"/>
      <c r="E13" s="208"/>
      <c r="F13" s="88"/>
      <c r="G13" s="207">
        <v>2023</v>
      </c>
      <c r="H13" s="208"/>
      <c r="I13" s="208"/>
      <c r="J13" s="88"/>
      <c r="K13" s="207">
        <v>2022</v>
      </c>
      <c r="L13" s="208"/>
      <c r="M13" s="208"/>
      <c r="N13" s="88"/>
      <c r="O13" s="209">
        <v>2021</v>
      </c>
      <c r="P13" s="210"/>
      <c r="Q13" s="211"/>
      <c r="R13" s="88"/>
      <c r="S13" s="209">
        <v>2020</v>
      </c>
      <c r="T13" s="210"/>
      <c r="U13" s="211"/>
      <c r="V13" s="88"/>
      <c r="W13" s="209">
        <v>2019</v>
      </c>
      <c r="X13" s="210"/>
      <c r="Y13" s="211"/>
      <c r="Z13" s="88"/>
      <c r="AA13" s="209">
        <v>2018</v>
      </c>
      <c r="AB13" s="210"/>
      <c r="AC13" s="211"/>
    </row>
    <row r="14" spans="1:29" ht="12.6" customHeight="1">
      <c r="A14" s="153"/>
      <c r="B14" s="88"/>
      <c r="C14" s="153" t="s">
        <v>698</v>
      </c>
      <c r="D14" s="153" t="s">
        <v>699</v>
      </c>
      <c r="E14" s="153" t="s">
        <v>696</v>
      </c>
      <c r="F14" s="88"/>
      <c r="G14" s="153" t="s">
        <v>698</v>
      </c>
      <c r="H14" s="153" t="s">
        <v>699</v>
      </c>
      <c r="I14" s="153" t="s">
        <v>696</v>
      </c>
      <c r="J14" s="88"/>
      <c r="K14" s="153" t="s">
        <v>698</v>
      </c>
      <c r="L14" s="153" t="s">
        <v>699</v>
      </c>
      <c r="M14" s="153" t="s">
        <v>696</v>
      </c>
      <c r="N14" s="88"/>
      <c r="O14" s="153" t="s">
        <v>698</v>
      </c>
      <c r="P14" s="153" t="s">
        <v>699</v>
      </c>
      <c r="Q14" s="153" t="s">
        <v>696</v>
      </c>
      <c r="R14" s="88"/>
      <c r="S14" s="153" t="s">
        <v>698</v>
      </c>
      <c r="T14" s="153" t="s">
        <v>699</v>
      </c>
      <c r="U14" s="153" t="s">
        <v>696</v>
      </c>
      <c r="V14" s="88"/>
      <c r="W14" s="153" t="s">
        <v>701</v>
      </c>
      <c r="X14" s="153" t="s">
        <v>783</v>
      </c>
      <c r="Y14" s="153" t="s">
        <v>696</v>
      </c>
      <c r="Z14" s="88"/>
      <c r="AA14" s="153" t="s">
        <v>698</v>
      </c>
      <c r="AB14" s="153" t="s">
        <v>699</v>
      </c>
      <c r="AC14" s="153" t="s">
        <v>696</v>
      </c>
    </row>
    <row r="15" spans="1:29" ht="12.95" customHeight="1">
      <c r="A15" s="96" t="s">
        <v>10</v>
      </c>
      <c r="B15" s="88"/>
      <c r="C15" s="189">
        <v>0.86</v>
      </c>
      <c r="D15" s="189">
        <v>1.1399999999999999</v>
      </c>
      <c r="E15" s="190">
        <f t="shared" ref="E15:E23" si="0">C15-D15</f>
        <v>-0.27999999999999992</v>
      </c>
      <c r="F15" s="88"/>
      <c r="G15" s="189">
        <v>1.04</v>
      </c>
      <c r="H15" s="189">
        <v>0.97</v>
      </c>
      <c r="I15" s="189">
        <f>G15-H15</f>
        <v>7.0000000000000062E-2</v>
      </c>
      <c r="J15" s="88"/>
      <c r="K15" s="191" t="s">
        <v>45</v>
      </c>
      <c r="L15" s="191" t="s">
        <v>45</v>
      </c>
      <c r="M15" s="191" t="s">
        <v>45</v>
      </c>
      <c r="N15" s="88"/>
      <c r="O15" s="191" t="s">
        <v>45</v>
      </c>
      <c r="P15" s="191" t="s">
        <v>45</v>
      </c>
      <c r="Q15" s="191" t="s">
        <v>45</v>
      </c>
      <c r="R15" s="88"/>
      <c r="S15" s="191" t="s">
        <v>45</v>
      </c>
      <c r="T15" s="191" t="s">
        <v>45</v>
      </c>
      <c r="U15" s="191" t="s">
        <v>45</v>
      </c>
      <c r="V15" s="88"/>
      <c r="W15" s="191" t="s">
        <v>45</v>
      </c>
      <c r="X15" s="191" t="s">
        <v>45</v>
      </c>
      <c r="Y15" s="191" t="s">
        <v>45</v>
      </c>
      <c r="Z15" s="88"/>
      <c r="AA15" s="191" t="s">
        <v>45</v>
      </c>
      <c r="AB15" s="191" t="s">
        <v>45</v>
      </c>
      <c r="AC15" s="191" t="s">
        <v>45</v>
      </c>
    </row>
    <row r="16" spans="1:29" ht="12.95" customHeight="1">
      <c r="A16" s="96" t="s">
        <v>694</v>
      </c>
      <c r="B16" s="88"/>
      <c r="C16" s="189">
        <v>12.01</v>
      </c>
      <c r="D16" s="189">
        <v>13.52</v>
      </c>
      <c r="E16" s="190">
        <f t="shared" si="0"/>
        <v>-1.5099999999999998</v>
      </c>
      <c r="F16" s="88"/>
      <c r="G16" s="189">
        <v>12.21</v>
      </c>
      <c r="H16" s="189">
        <f>12.937*0.9188</f>
        <v>11.886515599999999</v>
      </c>
      <c r="I16" s="189">
        <f>G16-H16</f>
        <v>0.32348440000000167</v>
      </c>
      <c r="J16" s="88"/>
      <c r="K16" s="189">
        <f>14.099*0.9866</f>
        <v>13.9100734</v>
      </c>
      <c r="L16" s="189">
        <f>13.763*0.9158</f>
        <v>12.6041554</v>
      </c>
      <c r="M16" s="189">
        <f>K16-L16</f>
        <v>1.3059180000000001</v>
      </c>
      <c r="N16" s="88"/>
      <c r="O16" s="189">
        <f>13.844*0.8615</f>
        <v>11.926606</v>
      </c>
      <c r="P16" s="189">
        <v>11.868818000000001</v>
      </c>
      <c r="Q16" s="189">
        <f>O16-P16</f>
        <v>5.7787999999998618E-2</v>
      </c>
      <c r="R16" s="88"/>
      <c r="S16" s="189">
        <f>14.676*0.8472</f>
        <v>12.433507199999999</v>
      </c>
      <c r="T16" s="189">
        <f>12.063*0.9075</f>
        <v>10.947172500000001</v>
      </c>
      <c r="U16" s="189">
        <f>S16-T16</f>
        <v>1.4863346999999987</v>
      </c>
      <c r="V16" s="88"/>
      <c r="W16" s="189">
        <v>14.137222400000001</v>
      </c>
      <c r="X16" s="189">
        <v>13.455039999999999</v>
      </c>
      <c r="Y16" s="189">
        <f>W16-X16</f>
        <v>0.68218240000000208</v>
      </c>
      <c r="Z16" s="88"/>
      <c r="AA16" s="189">
        <v>14.358456</v>
      </c>
      <c r="AB16" s="189">
        <v>13.4462755</v>
      </c>
      <c r="AC16" s="189">
        <f>AA16-AB16</f>
        <v>0.91218049999999984</v>
      </c>
    </row>
    <row r="17" spans="1:29" ht="12.6" customHeight="1">
      <c r="A17" s="96" t="s">
        <v>12</v>
      </c>
      <c r="B17" s="88"/>
      <c r="C17" s="189">
        <v>12.69</v>
      </c>
      <c r="D17" s="189">
        <v>13.42</v>
      </c>
      <c r="E17" s="190">
        <f t="shared" si="0"/>
        <v>-0.73000000000000043</v>
      </c>
      <c r="F17" s="88"/>
      <c r="G17" s="189">
        <v>12.42</v>
      </c>
      <c r="H17" s="189">
        <f>12.554*0.9188</f>
        <v>11.534615199999999</v>
      </c>
      <c r="I17" s="189">
        <f t="shared" ref="I17:I23" si="1">G17-H17</f>
        <v>0.88538480000000064</v>
      </c>
      <c r="J17" s="88"/>
      <c r="K17" s="189">
        <f>12.096*0.9866</f>
        <v>11.9339136</v>
      </c>
      <c r="L17" s="189">
        <f>10.45*0.9158</f>
        <v>9.5701099999999997</v>
      </c>
      <c r="M17" s="189">
        <f t="shared" ref="M17:M23" si="2">K17-L17</f>
        <v>2.3638036000000007</v>
      </c>
      <c r="N17" s="88"/>
      <c r="O17" s="189">
        <f>11.057*0.8615</f>
        <v>9.5256055000000011</v>
      </c>
      <c r="P17" s="189">
        <v>7.9470510000000001</v>
      </c>
      <c r="Q17" s="189">
        <f t="shared" ref="Q17:Q23" si="3">O17-P17</f>
        <v>1.578554500000001</v>
      </c>
      <c r="R17" s="88"/>
      <c r="S17" s="189">
        <f>9.806*0.8472</f>
        <v>8.3076431999999993</v>
      </c>
      <c r="T17" s="189">
        <f>7.02*0.9075</f>
        <v>6.3706499999999995</v>
      </c>
      <c r="U17" s="189">
        <f t="shared" ref="U17:U24" si="4">S17-T17</f>
        <v>1.9369931999999999</v>
      </c>
      <c r="V17" s="88"/>
      <c r="W17" s="189">
        <v>7.1297568</v>
      </c>
      <c r="X17" s="189">
        <v>7.2250024000000002</v>
      </c>
      <c r="Y17" s="190">
        <f t="shared" ref="Y17:Y24" si="5">W17-X17</f>
        <v>-9.5245600000000152E-2</v>
      </c>
      <c r="Z17" s="88"/>
      <c r="AA17" s="189">
        <v>6.57944</v>
      </c>
      <c r="AB17" s="189">
        <v>6.1531281</v>
      </c>
      <c r="AC17" s="189">
        <f t="shared" ref="AC17:AC24" si="6">AA17-AB17</f>
        <v>0.42631189999999997</v>
      </c>
    </row>
    <row r="18" spans="1:29" ht="12.6" customHeight="1">
      <c r="A18" s="96" t="s">
        <v>13</v>
      </c>
      <c r="B18" s="88"/>
      <c r="C18" s="189">
        <v>13.94</v>
      </c>
      <c r="D18" s="189">
        <v>14.51</v>
      </c>
      <c r="E18" s="190">
        <f t="shared" si="0"/>
        <v>-0.57000000000000028</v>
      </c>
      <c r="F18" s="88"/>
      <c r="G18" s="189">
        <v>13.97</v>
      </c>
      <c r="H18" s="189">
        <f>13.571*0.9188</f>
        <v>12.469034799999999</v>
      </c>
      <c r="I18" s="189">
        <f t="shared" si="1"/>
        <v>1.5009652000000013</v>
      </c>
      <c r="J18" s="88"/>
      <c r="K18" s="189">
        <f>13.995*0.9866</f>
        <v>13.807466999999999</v>
      </c>
      <c r="L18" s="189">
        <f>11.873*0.9158</f>
        <v>10.873293399999998</v>
      </c>
      <c r="M18" s="189">
        <f t="shared" si="2"/>
        <v>2.9341736000000012</v>
      </c>
      <c r="N18" s="88"/>
      <c r="O18" s="189">
        <f>12.102*0.8615</f>
        <v>10.425873000000001</v>
      </c>
      <c r="P18" s="189">
        <v>10.770859</v>
      </c>
      <c r="Q18" s="190">
        <f t="shared" si="3"/>
        <v>-0.34498599999999868</v>
      </c>
      <c r="R18" s="88"/>
      <c r="S18" s="189">
        <f>14.557*0.8472</f>
        <v>12.332690399999999</v>
      </c>
      <c r="T18" s="189">
        <f>12.451*0.9075</f>
        <v>11.2992825</v>
      </c>
      <c r="U18" s="189">
        <f t="shared" si="4"/>
        <v>1.0334078999999985</v>
      </c>
      <c r="V18" s="88"/>
      <c r="W18" s="189">
        <v>12.2551968</v>
      </c>
      <c r="X18" s="189">
        <v>15.0917748</v>
      </c>
      <c r="Y18" s="190">
        <f t="shared" si="5"/>
        <v>-2.8365779999999994</v>
      </c>
      <c r="Z18" s="88"/>
      <c r="AA18" s="189">
        <v>15.297632</v>
      </c>
      <c r="AB18" s="189">
        <v>13.387579799999999</v>
      </c>
      <c r="AC18" s="189">
        <f t="shared" si="6"/>
        <v>1.9100522000000009</v>
      </c>
    </row>
    <row r="19" spans="1:29" ht="12.6" customHeight="1">
      <c r="A19" s="96" t="s">
        <v>16</v>
      </c>
      <c r="B19" s="88"/>
      <c r="C19" s="189">
        <v>13.96</v>
      </c>
      <c r="D19" s="189">
        <v>15.12</v>
      </c>
      <c r="E19" s="190">
        <f t="shared" si="0"/>
        <v>-1.1599999999999984</v>
      </c>
      <c r="F19" s="88"/>
      <c r="G19" s="189">
        <v>14.82</v>
      </c>
      <c r="H19" s="189">
        <f>15.382*0.9188</f>
        <v>14.132981599999999</v>
      </c>
      <c r="I19" s="189">
        <f t="shared" si="1"/>
        <v>0.68701840000000125</v>
      </c>
      <c r="J19" s="88"/>
      <c r="K19" s="189">
        <f>15.817*0.9866</f>
        <v>15.605052200000001</v>
      </c>
      <c r="L19" s="189">
        <f>14.109*0.9158</f>
        <v>12.921022199999999</v>
      </c>
      <c r="M19" s="189">
        <f t="shared" si="2"/>
        <v>2.6840300000000017</v>
      </c>
      <c r="N19" s="88"/>
      <c r="O19" s="189">
        <f>14.585*0.8615</f>
        <v>12.564977500000001</v>
      </c>
      <c r="P19" s="189">
        <v>10.585886</v>
      </c>
      <c r="Q19" s="189">
        <f t="shared" si="3"/>
        <v>1.9790915000000009</v>
      </c>
      <c r="R19" s="88"/>
      <c r="S19" s="189">
        <f>12.748*0.8472</f>
        <v>10.800105599999998</v>
      </c>
      <c r="T19" s="189">
        <f>12.126*0.9075</f>
        <v>11.004344999999999</v>
      </c>
      <c r="U19" s="190">
        <f t="shared" si="4"/>
        <v>-0.20423940000000051</v>
      </c>
      <c r="V19" s="88"/>
      <c r="W19" s="189">
        <v>13.433148800000001</v>
      </c>
      <c r="X19" s="189">
        <v>11.8908916</v>
      </c>
      <c r="Y19" s="189">
        <f t="shared" si="5"/>
        <v>1.5422572000000017</v>
      </c>
      <c r="Z19" s="88"/>
      <c r="AA19" s="189">
        <v>11.740568</v>
      </c>
      <c r="AB19" s="189">
        <v>10.060939000000001</v>
      </c>
      <c r="AC19" s="189">
        <f t="shared" si="6"/>
        <v>1.6796289999999985</v>
      </c>
    </row>
    <row r="20" spans="1:29" ht="12.6" customHeight="1">
      <c r="A20" s="96" t="s">
        <v>17</v>
      </c>
      <c r="B20" s="88"/>
      <c r="C20" s="189">
        <v>1.2</v>
      </c>
      <c r="D20" s="189">
        <v>2.4300000000000002</v>
      </c>
      <c r="E20" s="190">
        <f t="shared" si="0"/>
        <v>-1.2300000000000002</v>
      </c>
      <c r="F20" s="88"/>
      <c r="G20" s="189">
        <v>2.17</v>
      </c>
      <c r="H20" s="189">
        <f>2.288*0.9188</f>
        <v>2.1022143999999998</v>
      </c>
      <c r="I20" s="189">
        <f t="shared" si="1"/>
        <v>6.7785600000000112E-2</v>
      </c>
      <c r="J20" s="88"/>
      <c r="K20" s="189">
        <f>2.506*0.9866</f>
        <v>2.4724195999999998</v>
      </c>
      <c r="L20" s="189">
        <f>1.766*0.9158</f>
        <v>1.6173027999999998</v>
      </c>
      <c r="M20" s="189">
        <f t="shared" si="2"/>
        <v>0.85511680000000001</v>
      </c>
      <c r="N20" s="88"/>
      <c r="O20" s="189">
        <f>1.774*0.8615</f>
        <v>1.5283010000000001</v>
      </c>
      <c r="P20" s="189">
        <v>2.1373715</v>
      </c>
      <c r="Q20" s="190">
        <f t="shared" si="3"/>
        <v>-0.60907049999999985</v>
      </c>
      <c r="R20" s="88"/>
      <c r="S20" s="189">
        <f>2.8*0.8472</f>
        <v>2.3721599999999996</v>
      </c>
      <c r="T20" s="189">
        <f>2.502*0.9075</f>
        <v>2.2705649999999999</v>
      </c>
      <c r="U20" s="189">
        <f t="shared" si="4"/>
        <v>0.10159499999999966</v>
      </c>
      <c r="V20" s="88"/>
      <c r="W20" s="189">
        <v>2.1706688000000001</v>
      </c>
      <c r="X20" s="189">
        <v>1.9191136</v>
      </c>
      <c r="Y20" s="189">
        <f t="shared" si="5"/>
        <v>0.25155520000000009</v>
      </c>
      <c r="Z20" s="88"/>
      <c r="AA20" s="189">
        <v>2.650004</v>
      </c>
      <c r="AB20" s="189">
        <v>2.2783852000000002</v>
      </c>
      <c r="AC20" s="189">
        <f t="shared" si="6"/>
        <v>0.3716187999999998</v>
      </c>
    </row>
    <row r="21" spans="1:29" ht="12.6" customHeight="1">
      <c r="A21" s="96" t="s">
        <v>92</v>
      </c>
      <c r="B21" s="88"/>
      <c r="C21" s="189">
        <v>3.51</v>
      </c>
      <c r="D21" s="189">
        <v>3.63</v>
      </c>
      <c r="E21" s="190">
        <f t="shared" si="0"/>
        <v>-0.12000000000000011</v>
      </c>
      <c r="F21" s="88"/>
      <c r="G21" s="189">
        <v>2.74</v>
      </c>
      <c r="H21" s="189">
        <f>2.725*0.9188</f>
        <v>2.50373</v>
      </c>
      <c r="I21" s="189">
        <f t="shared" si="1"/>
        <v>0.2362700000000002</v>
      </c>
      <c r="J21" s="88"/>
      <c r="K21" s="189">
        <f>2.476*0.9866</f>
        <v>2.4428216000000003</v>
      </c>
      <c r="L21" s="189">
        <f>2.246*0.9158</f>
        <v>2.0568868</v>
      </c>
      <c r="M21" s="189">
        <f t="shared" si="2"/>
        <v>0.38593480000000024</v>
      </c>
      <c r="N21" s="88"/>
      <c r="O21" s="189">
        <f>2.709*0.8615</f>
        <v>2.3338035000000001</v>
      </c>
      <c r="P21" s="189">
        <v>2.6608960000000002</v>
      </c>
      <c r="Q21" s="190">
        <f t="shared" si="3"/>
        <v>-0.32709250000000001</v>
      </c>
      <c r="R21" s="88"/>
      <c r="S21" s="189">
        <f>3.952*0.8472</f>
        <v>3.3481343999999997</v>
      </c>
      <c r="T21" s="189">
        <f>3.081*0.9075</f>
        <v>2.7960075</v>
      </c>
      <c r="U21" s="189">
        <f t="shared" si="4"/>
        <v>0.55212689999999975</v>
      </c>
      <c r="V21" s="88"/>
      <c r="W21" s="189">
        <v>3.2110432000000002</v>
      </c>
      <c r="X21" s="189">
        <v>3.2106203999999998</v>
      </c>
      <c r="Y21" s="189">
        <f t="shared" si="5"/>
        <v>4.2280000000038953E-4</v>
      </c>
      <c r="Z21" s="88"/>
      <c r="AA21" s="189">
        <v>2.886968</v>
      </c>
      <c r="AB21" s="189">
        <v>2.5247417999999997</v>
      </c>
      <c r="AC21" s="189">
        <f t="shared" si="6"/>
        <v>0.36222620000000028</v>
      </c>
    </row>
    <row r="22" spans="1:29" ht="12.6" customHeight="1">
      <c r="A22" s="96" t="s">
        <v>697</v>
      </c>
      <c r="B22" s="88"/>
      <c r="C22" s="191" t="s">
        <v>45</v>
      </c>
      <c r="D22" s="191" t="s">
        <v>45</v>
      </c>
      <c r="E22" s="191" t="s">
        <v>45</v>
      </c>
      <c r="F22" s="88"/>
      <c r="G22" s="191" t="s">
        <v>45</v>
      </c>
      <c r="H22" s="191" t="s">
        <v>45</v>
      </c>
      <c r="I22" s="191" t="s">
        <v>45</v>
      </c>
      <c r="J22" s="88"/>
      <c r="K22" s="191" t="s">
        <v>45</v>
      </c>
      <c r="L22" s="191" t="s">
        <v>45</v>
      </c>
      <c r="M22" s="191" t="s">
        <v>45</v>
      </c>
      <c r="N22" s="88"/>
      <c r="O22" s="191" t="s">
        <v>45</v>
      </c>
      <c r="P22" s="191" t="s">
        <v>45</v>
      </c>
      <c r="Q22" s="191" t="s">
        <v>45</v>
      </c>
      <c r="R22" s="88"/>
      <c r="S22" s="191" t="s">
        <v>45</v>
      </c>
      <c r="T22" s="191" t="s">
        <v>45</v>
      </c>
      <c r="U22" s="191" t="s">
        <v>45</v>
      </c>
      <c r="V22" s="88"/>
      <c r="W22" s="189">
        <v>0.86862720000000004</v>
      </c>
      <c r="X22" s="189">
        <v>0.95424559999999992</v>
      </c>
      <c r="Y22" s="190">
        <f t="shared" si="5"/>
        <v>-8.5618399999999872E-2</v>
      </c>
      <c r="Z22" s="88"/>
      <c r="AA22" s="189">
        <v>0.89230399999999999</v>
      </c>
      <c r="AB22" s="189">
        <v>0.85398109999999994</v>
      </c>
      <c r="AC22" s="189">
        <f t="shared" si="6"/>
        <v>3.8322900000000049E-2</v>
      </c>
    </row>
    <row r="23" spans="1:29" ht="12.6" customHeight="1">
      <c r="A23" s="96" t="s">
        <v>695</v>
      </c>
      <c r="B23" s="88"/>
      <c r="C23" s="189">
        <v>10.62</v>
      </c>
      <c r="D23" s="189">
        <v>11.85</v>
      </c>
      <c r="E23" s="190">
        <f t="shared" si="0"/>
        <v>-1.2300000000000004</v>
      </c>
      <c r="F23" s="88"/>
      <c r="G23" s="189">
        <v>11.49</v>
      </c>
      <c r="H23" s="189">
        <f>12.637*0.9188</f>
        <v>11.6108756</v>
      </c>
      <c r="I23" s="190">
        <f t="shared" si="1"/>
        <v>-0.12087559999999975</v>
      </c>
      <c r="J23" s="88"/>
      <c r="K23" s="189">
        <f>12.457*0.9866</f>
        <v>12.290076200000001</v>
      </c>
      <c r="L23" s="189">
        <f>10.849*0.9158</f>
        <v>9.9355142000000001</v>
      </c>
      <c r="M23" s="189">
        <f t="shared" si="2"/>
        <v>2.3545620000000014</v>
      </c>
      <c r="N23" s="88"/>
      <c r="O23" s="189">
        <f>11.525*0.8615</f>
        <v>9.9287875000000003</v>
      </c>
      <c r="P23" s="189">
        <v>10.714858</v>
      </c>
      <c r="Q23" s="190">
        <f t="shared" si="3"/>
        <v>-0.78607049999999923</v>
      </c>
      <c r="R23" s="88"/>
      <c r="S23" s="189">
        <f>13.317*0.8472</f>
        <v>11.282162399999999</v>
      </c>
      <c r="T23" s="189">
        <f>12.179*0.9075</f>
        <v>11.0524425</v>
      </c>
      <c r="U23" s="189">
        <f t="shared" si="4"/>
        <v>0.2297198999999992</v>
      </c>
      <c r="V23" s="88"/>
      <c r="W23" s="189">
        <v>13.8503776</v>
      </c>
      <c r="X23" s="189">
        <v>13.1797428</v>
      </c>
      <c r="Y23" s="189">
        <f t="shared" si="5"/>
        <v>0.6706348000000002</v>
      </c>
      <c r="Z23" s="88"/>
      <c r="AA23" s="189">
        <v>12.031347999999999</v>
      </c>
      <c r="AB23" s="189">
        <v>11.025697899999999</v>
      </c>
      <c r="AC23" s="189">
        <f t="shared" si="6"/>
        <v>1.0056501000000004</v>
      </c>
    </row>
    <row r="24" spans="1:29" ht="12.6" customHeight="1">
      <c r="A24" s="192" t="s">
        <v>22</v>
      </c>
      <c r="B24" s="88"/>
      <c r="C24" s="193">
        <v>68.790000000000006</v>
      </c>
      <c r="D24" s="193">
        <v>75.62</v>
      </c>
      <c r="E24" s="194">
        <f>C24-D24</f>
        <v>-6.8299999999999983</v>
      </c>
      <c r="F24" s="88"/>
      <c r="G24" s="193">
        <v>70.86</v>
      </c>
      <c r="H24" s="193">
        <v>67.2</v>
      </c>
      <c r="I24" s="193">
        <f>G24-H24</f>
        <v>3.6599999999999966</v>
      </c>
      <c r="J24" s="88"/>
      <c r="K24" s="193">
        <f>SUM(K16:K23)</f>
        <v>72.461823600000002</v>
      </c>
      <c r="L24" s="193">
        <f>SUM(L16:L23)</f>
        <v>59.578284799999999</v>
      </c>
      <c r="M24" s="193">
        <f>K24-L24</f>
        <v>12.883538800000004</v>
      </c>
      <c r="N24" s="88"/>
      <c r="O24" s="193">
        <f>SUM(O16:O23)</f>
        <v>58.233953999999997</v>
      </c>
      <c r="P24" s="193">
        <f>SUM(P16:P23)</f>
        <v>56.685739500000004</v>
      </c>
      <c r="Q24" s="193">
        <f>O24-P24</f>
        <v>1.5482144999999932</v>
      </c>
      <c r="R24" s="88"/>
      <c r="S24" s="193">
        <f>SUM(S16:S23)</f>
        <v>60.876403199999992</v>
      </c>
      <c r="T24" s="193">
        <f>SUM(T16:T23)</f>
        <v>55.740464999999993</v>
      </c>
      <c r="U24" s="193">
        <f t="shared" si="4"/>
        <v>5.1359381999999982</v>
      </c>
      <c r="V24" s="88"/>
      <c r="W24" s="193">
        <v>78.534329599999992</v>
      </c>
      <c r="X24" s="193">
        <v>77.951597200000009</v>
      </c>
      <c r="Y24" s="193">
        <f t="shared" si="5"/>
        <v>0.58273239999998339</v>
      </c>
      <c r="Z24" s="88"/>
      <c r="AA24" s="193">
        <v>76.696479999999994</v>
      </c>
      <c r="AB24" s="193">
        <v>68.594605800000011</v>
      </c>
      <c r="AC24" s="193">
        <f t="shared" si="6"/>
        <v>8.1018741999999833</v>
      </c>
    </row>
    <row r="25" spans="1:29" ht="12.6" customHeight="1">
      <c r="C25" s="61"/>
      <c r="G25" s="61"/>
    </row>
    <row r="26" spans="1:29" ht="12.6" customHeight="1">
      <c r="A26" s="30" t="s">
        <v>1657</v>
      </c>
      <c r="B26" s="30"/>
      <c r="C26" s="30"/>
      <c r="D26" s="30"/>
      <c r="E26" s="30"/>
      <c r="F26" s="30"/>
      <c r="G26" s="30"/>
      <c r="H26" s="30"/>
      <c r="I26" s="30"/>
      <c r="J26" s="30"/>
      <c r="K26" s="30"/>
      <c r="L26" s="30"/>
      <c r="M26" s="30"/>
      <c r="N26" s="30"/>
      <c r="O26" s="30"/>
      <c r="P26" s="30"/>
      <c r="Q26" s="30"/>
      <c r="R26" s="30"/>
      <c r="S26" s="30"/>
      <c r="T26" s="30"/>
      <c r="U26" s="30"/>
      <c r="V26" s="30"/>
    </row>
    <row r="28" spans="1:29" ht="12.6" customHeight="1">
      <c r="A28" s="188"/>
      <c r="B28" s="88"/>
      <c r="C28" s="207">
        <v>2024</v>
      </c>
      <c r="D28" s="208"/>
      <c r="E28" s="208"/>
      <c r="F28" s="88"/>
      <c r="G28" s="207">
        <v>2023</v>
      </c>
      <c r="H28" s="208"/>
      <c r="I28" s="208"/>
      <c r="J28" s="88"/>
      <c r="K28" s="207">
        <v>2022</v>
      </c>
      <c r="L28" s="208"/>
      <c r="M28" s="208"/>
      <c r="N28" s="88"/>
      <c r="O28" s="209">
        <v>2021</v>
      </c>
      <c r="P28" s="210"/>
      <c r="Q28" s="211"/>
      <c r="R28" s="88"/>
      <c r="S28" s="209">
        <v>2020</v>
      </c>
      <c r="T28" s="210"/>
      <c r="U28" s="211"/>
      <c r="V28" s="88"/>
      <c r="W28" s="209">
        <v>2019</v>
      </c>
      <c r="X28" s="210"/>
      <c r="Y28" s="211"/>
      <c r="Z28" s="88"/>
      <c r="AA28" s="209">
        <v>2018</v>
      </c>
      <c r="AB28" s="210"/>
      <c r="AC28" s="211"/>
    </row>
    <row r="29" spans="1:29" ht="12.6" customHeight="1">
      <c r="A29" s="153"/>
      <c r="B29" s="88"/>
      <c r="C29" s="153" t="s">
        <v>698</v>
      </c>
      <c r="D29" s="153" t="s">
        <v>699</v>
      </c>
      <c r="E29" s="153" t="s">
        <v>696</v>
      </c>
      <c r="F29" s="88"/>
      <c r="G29" s="153" t="s">
        <v>698</v>
      </c>
      <c r="H29" s="153" t="s">
        <v>699</v>
      </c>
      <c r="I29" s="153" t="s">
        <v>696</v>
      </c>
      <c r="J29" s="88"/>
      <c r="K29" s="153" t="s">
        <v>698</v>
      </c>
      <c r="L29" s="153" t="s">
        <v>699</v>
      </c>
      <c r="M29" s="153" t="s">
        <v>696</v>
      </c>
      <c r="N29" s="88"/>
      <c r="O29" s="153" t="s">
        <v>698</v>
      </c>
      <c r="P29" s="153" t="s">
        <v>699</v>
      </c>
      <c r="Q29" s="153" t="s">
        <v>696</v>
      </c>
      <c r="R29" s="88"/>
      <c r="S29" s="153" t="s">
        <v>698</v>
      </c>
      <c r="T29" s="153" t="s">
        <v>699</v>
      </c>
      <c r="U29" s="153" t="s">
        <v>696</v>
      </c>
      <c r="V29" s="88"/>
      <c r="W29" s="153" t="s">
        <v>698</v>
      </c>
      <c r="X29" s="153" t="s">
        <v>699</v>
      </c>
      <c r="Y29" s="153" t="s">
        <v>696</v>
      </c>
      <c r="Z29" s="88"/>
      <c r="AA29" s="153" t="s">
        <v>698</v>
      </c>
      <c r="AB29" s="153" t="s">
        <v>699</v>
      </c>
      <c r="AC29" s="153" t="s">
        <v>696</v>
      </c>
    </row>
    <row r="30" spans="1:29" ht="12.6" customHeight="1">
      <c r="A30" s="96" t="s">
        <v>38</v>
      </c>
      <c r="B30" s="88"/>
      <c r="C30" s="189">
        <v>75.61</v>
      </c>
      <c r="D30" s="189">
        <v>75.31</v>
      </c>
      <c r="E30" s="189">
        <f>C30-D30</f>
        <v>0.29999999999999716</v>
      </c>
      <c r="F30" s="88"/>
      <c r="G30" s="189">
        <v>76.540000000000006</v>
      </c>
      <c r="H30" s="189">
        <f>78.669*0.9188</f>
        <v>72.281077199999999</v>
      </c>
      <c r="I30" s="189">
        <f>G30-H30</f>
        <v>4.2589228000000077</v>
      </c>
      <c r="J30" s="88"/>
      <c r="K30" s="189">
        <f>79.339*0.9866</f>
        <v>78.275857400000007</v>
      </c>
      <c r="L30" s="189">
        <f>72.366*0.9158</f>
        <v>66.272782800000002</v>
      </c>
      <c r="M30" s="189">
        <f>K30-L30</f>
        <v>12.003074600000005</v>
      </c>
      <c r="N30" s="88"/>
      <c r="O30" s="189">
        <f>76.86*0.8615</f>
        <v>66.214889999999997</v>
      </c>
      <c r="P30" s="189">
        <v>64.280663000000004</v>
      </c>
      <c r="Q30" s="189">
        <f>O30-P30</f>
        <v>1.9342269999999928</v>
      </c>
      <c r="R30" s="88"/>
      <c r="S30" s="189">
        <f>77.409*0.8472</f>
        <v>65.580904799999999</v>
      </c>
      <c r="T30" s="189">
        <f>62.264*0.9075</f>
        <v>56.504580000000004</v>
      </c>
      <c r="U30" s="189">
        <f t="shared" ref="U30:U33" si="7">S30-T30</f>
        <v>9.0763247999999948</v>
      </c>
      <c r="V30" s="88"/>
      <c r="W30" s="189">
        <v>67.551500799999999</v>
      </c>
      <c r="X30" s="189">
        <v>66.4687828</v>
      </c>
      <c r="Y30" s="189">
        <f>W30-X30</f>
        <v>1.0827179999999998</v>
      </c>
      <c r="Z30" s="88"/>
      <c r="AA30" s="189">
        <v>64.280608000000001</v>
      </c>
      <c r="AB30" s="189">
        <v>60.681598739999991</v>
      </c>
      <c r="AC30" s="189">
        <f>AA30-AB30</f>
        <v>3.5990092600000096</v>
      </c>
    </row>
    <row r="31" spans="1:29" ht="12" customHeight="1">
      <c r="A31" s="96" t="s">
        <v>700</v>
      </c>
      <c r="B31" s="88"/>
      <c r="C31" s="189">
        <v>55.6</v>
      </c>
      <c r="D31" s="189">
        <v>51.29</v>
      </c>
      <c r="E31" s="189">
        <f>C31-D31</f>
        <v>4.3100000000000023</v>
      </c>
      <c r="F31" s="88"/>
      <c r="G31" s="189">
        <v>46.5</v>
      </c>
      <c r="H31" s="189">
        <f>44.185*0.9188</f>
        <v>40.597178</v>
      </c>
      <c r="I31" s="189">
        <f>G31-H31</f>
        <v>5.9028220000000005</v>
      </c>
      <c r="J31" s="88"/>
      <c r="K31" s="189">
        <f>46.436*0.9866</f>
        <v>45.813757600000002</v>
      </c>
      <c r="L31" s="189">
        <f>40.501*0.9158</f>
        <v>37.090815799999994</v>
      </c>
      <c r="M31" s="189">
        <f>K31-L31</f>
        <v>8.7229418000000081</v>
      </c>
      <c r="N31" s="88"/>
      <c r="O31" s="189">
        <f>39.678*0.8615</f>
        <v>34.182597000000001</v>
      </c>
      <c r="P31" s="189">
        <v>32.778403500000003</v>
      </c>
      <c r="Q31" s="189">
        <f>O31-P31</f>
        <v>1.4041934999999981</v>
      </c>
      <c r="R31" s="88"/>
      <c r="S31" s="189">
        <f>27.445*0.8472</f>
        <v>23.251403999999997</v>
      </c>
      <c r="T31" s="189">
        <f>26.557*0.9075</f>
        <v>24.100477499999997</v>
      </c>
      <c r="U31" s="190">
        <f t="shared" si="7"/>
        <v>-0.84907349999999937</v>
      </c>
      <c r="V31" s="88"/>
      <c r="W31" s="189">
        <v>21.316435200000001</v>
      </c>
      <c r="X31" s="189">
        <v>19.620457999999999</v>
      </c>
      <c r="Y31" s="189">
        <f t="shared" ref="Y31:Y33" si="8">W31-X31</f>
        <v>1.6959772000000015</v>
      </c>
      <c r="Z31" s="88"/>
      <c r="AA31" s="189">
        <v>16.913847999999998</v>
      </c>
      <c r="AB31" s="189">
        <v>14.08481858</v>
      </c>
      <c r="AC31" s="189">
        <f t="shared" ref="AC31:AC33" si="9">AA31-AB31</f>
        <v>2.8290294199999977</v>
      </c>
    </row>
    <row r="32" spans="1:29" ht="12" customHeight="1">
      <c r="A32" s="96" t="s">
        <v>37</v>
      </c>
      <c r="B32" s="88"/>
      <c r="C32" s="189">
        <v>0.14000000000000001</v>
      </c>
      <c r="D32" s="189">
        <v>0.15</v>
      </c>
      <c r="E32" s="190">
        <f>C32-D32</f>
        <v>-9.9999999999999811E-3</v>
      </c>
      <c r="F32" s="88"/>
      <c r="G32" s="189">
        <v>0.14000000000000001</v>
      </c>
      <c r="H32" s="189">
        <f>0.187*0.9188</f>
        <v>0.17181559999999999</v>
      </c>
      <c r="I32" s="190">
        <f>G32-H32</f>
        <v>-3.1815599999999972E-2</v>
      </c>
      <c r="J32" s="88"/>
      <c r="K32" s="189">
        <f>0.19*0.9866</f>
        <v>0.18745400000000001</v>
      </c>
      <c r="L32" s="189">
        <f>0.18*0.9158</f>
        <v>0.16484399999999999</v>
      </c>
      <c r="M32" s="189">
        <f>K32-L32</f>
        <v>2.2610000000000019E-2</v>
      </c>
      <c r="N32" s="88"/>
      <c r="O32" s="189">
        <f>0.2*0.8615</f>
        <v>0.17230000000000001</v>
      </c>
      <c r="P32" s="189">
        <v>0.18412450000000002</v>
      </c>
      <c r="Q32" s="190">
        <f>O32-P32</f>
        <v>-1.1824500000000016E-2</v>
      </c>
      <c r="R32" s="88"/>
      <c r="S32" s="189">
        <f>0.203*0.8472</f>
        <v>0.17198160000000001</v>
      </c>
      <c r="T32" s="189">
        <f>0.176*0.9075</f>
        <v>0.15971999999999997</v>
      </c>
      <c r="U32" s="189">
        <f t="shared" si="7"/>
        <v>1.2261600000000039E-2</v>
      </c>
      <c r="V32" s="88"/>
      <c r="W32" s="189">
        <v>0.17354559999999999</v>
      </c>
      <c r="X32" s="189">
        <v>0.1841216</v>
      </c>
      <c r="Y32" s="190">
        <f t="shared" si="8"/>
        <v>-1.0576000000000002E-2</v>
      </c>
      <c r="Z32" s="88"/>
      <c r="AA32" s="189">
        <v>0.16231600000000002</v>
      </c>
      <c r="AB32" s="189">
        <v>0.12780781999999999</v>
      </c>
      <c r="AC32" s="189">
        <f t="shared" si="9"/>
        <v>3.4508180000000027E-2</v>
      </c>
    </row>
    <row r="33" spans="1:29" ht="12.6" customHeight="1">
      <c r="A33" s="192" t="s">
        <v>22</v>
      </c>
      <c r="B33" s="88"/>
      <c r="C33" s="193">
        <f>SUM(C30:C32)</f>
        <v>131.35</v>
      </c>
      <c r="D33" s="193">
        <v>126.75</v>
      </c>
      <c r="E33" s="193">
        <f>C33-D33</f>
        <v>4.5999999999999943</v>
      </c>
      <c r="F33" s="88"/>
      <c r="G33" s="193">
        <f>SUM(G30:G32)</f>
        <v>123.18</v>
      </c>
      <c r="H33" s="193">
        <f>SUM(H30:H32)</f>
        <v>113.0500708</v>
      </c>
      <c r="I33" s="193">
        <f>G33-H33</f>
        <v>10.129929200000007</v>
      </c>
      <c r="J33" s="88"/>
      <c r="K33" s="193">
        <f>SUM(K30:K32)</f>
        <v>124.27706900000001</v>
      </c>
      <c r="L33" s="193">
        <f>SUM(L30:L32)</f>
        <v>103.52844259999999</v>
      </c>
      <c r="M33" s="193">
        <f>K33-L33</f>
        <v>20.74862640000002</v>
      </c>
      <c r="N33" s="88"/>
      <c r="O33" s="193">
        <f>SUM(O30:O32)</f>
        <v>100.56978700000001</v>
      </c>
      <c r="P33" s="193">
        <f>SUM(P30:P32)</f>
        <v>97.243190999999996</v>
      </c>
      <c r="Q33" s="193">
        <f>O33-P33</f>
        <v>3.3265960000000092</v>
      </c>
      <c r="R33" s="88"/>
      <c r="S33" s="193">
        <f>SUM(S30:S32)</f>
        <v>89.004290399999988</v>
      </c>
      <c r="T33" s="193">
        <f>SUM(T30:T32)</f>
        <v>80.764777499999994</v>
      </c>
      <c r="U33" s="193">
        <f t="shared" si="7"/>
        <v>8.239512899999994</v>
      </c>
      <c r="V33" s="88"/>
      <c r="W33" s="193">
        <v>89.041481599999997</v>
      </c>
      <c r="X33" s="193">
        <v>86.273362399999996</v>
      </c>
      <c r="Y33" s="193">
        <f t="shared" si="8"/>
        <v>2.768119200000001</v>
      </c>
      <c r="Z33" s="88"/>
      <c r="AA33" s="193">
        <v>81.356771999999992</v>
      </c>
      <c r="AB33" s="193">
        <v>74.894225140000003</v>
      </c>
      <c r="AC33" s="193">
        <f t="shared" si="9"/>
        <v>6.4625468599999891</v>
      </c>
    </row>
    <row r="35" spans="1:29" ht="12.6" customHeight="1">
      <c r="A35" s="30" t="s">
        <v>1658</v>
      </c>
      <c r="B35" s="30"/>
      <c r="C35" s="30"/>
      <c r="D35" s="30"/>
      <c r="E35" s="30"/>
      <c r="F35" s="30"/>
      <c r="G35" s="30"/>
      <c r="H35" s="30"/>
      <c r="I35" s="30"/>
      <c r="J35" s="30"/>
      <c r="K35" s="30"/>
      <c r="L35" s="30"/>
      <c r="M35" s="30"/>
      <c r="N35" s="30"/>
      <c r="O35" s="30"/>
      <c r="P35" s="30"/>
      <c r="Q35" s="30"/>
      <c r="R35" s="30"/>
      <c r="S35" s="30"/>
      <c r="T35" s="30"/>
      <c r="U35" s="30"/>
      <c r="V35" s="30"/>
    </row>
    <row r="37" spans="1:29" ht="12.6" customHeight="1">
      <c r="A37" s="188"/>
      <c r="B37" s="88"/>
      <c r="C37" s="207">
        <v>2024</v>
      </c>
      <c r="D37" s="208"/>
      <c r="E37" s="208"/>
      <c r="F37" s="88"/>
      <c r="G37" s="207">
        <v>2023</v>
      </c>
      <c r="H37" s="208"/>
      <c r="I37" s="208"/>
      <c r="J37" s="88"/>
      <c r="K37" s="207">
        <v>2022</v>
      </c>
      <c r="L37" s="208"/>
      <c r="M37" s="208"/>
      <c r="N37" s="88"/>
      <c r="O37" s="209">
        <v>2021</v>
      </c>
      <c r="P37" s="210"/>
      <c r="Q37" s="211"/>
      <c r="R37" s="88"/>
      <c r="S37" s="209">
        <v>2020</v>
      </c>
      <c r="T37" s="210"/>
      <c r="U37" s="211"/>
      <c r="V37" s="88"/>
      <c r="W37" s="209">
        <v>2019</v>
      </c>
      <c r="X37" s="210"/>
      <c r="Y37" s="211"/>
      <c r="Z37" s="88"/>
      <c r="AA37" s="209">
        <v>2018</v>
      </c>
      <c r="AB37" s="210"/>
      <c r="AC37" s="211"/>
    </row>
    <row r="38" spans="1:29" ht="12.6" customHeight="1">
      <c r="A38" s="153"/>
      <c r="B38" s="88"/>
      <c r="C38" s="153" t="s">
        <v>698</v>
      </c>
      <c r="D38" s="153" t="s">
        <v>699</v>
      </c>
      <c r="E38" s="153" t="s">
        <v>696</v>
      </c>
      <c r="F38" s="88"/>
      <c r="G38" s="153" t="s">
        <v>698</v>
      </c>
      <c r="H38" s="153" t="s">
        <v>699</v>
      </c>
      <c r="I38" s="153" t="s">
        <v>696</v>
      </c>
      <c r="J38" s="88"/>
      <c r="K38" s="153" t="s">
        <v>698</v>
      </c>
      <c r="L38" s="153" t="s">
        <v>699</v>
      </c>
      <c r="M38" s="153" t="s">
        <v>696</v>
      </c>
      <c r="N38" s="88"/>
      <c r="O38" s="153" t="s">
        <v>698</v>
      </c>
      <c r="P38" s="153" t="s">
        <v>699</v>
      </c>
      <c r="Q38" s="153" t="s">
        <v>696</v>
      </c>
      <c r="R38" s="88"/>
      <c r="S38" s="153" t="s">
        <v>698</v>
      </c>
      <c r="T38" s="153" t="s">
        <v>699</v>
      </c>
      <c r="U38" s="153" t="s">
        <v>696</v>
      </c>
      <c r="V38" s="88"/>
      <c r="W38" s="153" t="s">
        <v>701</v>
      </c>
      <c r="X38" s="153" t="s">
        <v>699</v>
      </c>
      <c r="Y38" s="153" t="s">
        <v>696</v>
      </c>
      <c r="Z38" s="88"/>
      <c r="AA38" s="153" t="s">
        <v>698</v>
      </c>
      <c r="AB38" s="153" t="s">
        <v>699</v>
      </c>
      <c r="AC38" s="153" t="s">
        <v>696</v>
      </c>
    </row>
    <row r="39" spans="1:29" ht="12.6" customHeight="1">
      <c r="A39" s="96" t="s">
        <v>38</v>
      </c>
      <c r="B39" s="88"/>
      <c r="C39" s="118">
        <v>208.67</v>
      </c>
      <c r="D39" s="118">
        <v>202.28</v>
      </c>
      <c r="E39" s="189">
        <f>C39-D39</f>
        <v>6.3899999999999864</v>
      </c>
      <c r="F39" s="88"/>
      <c r="G39" s="118">
        <v>204.18</v>
      </c>
      <c r="H39" s="118">
        <f>(177.6+26)*0.9188</f>
        <v>187.06768</v>
      </c>
      <c r="I39" s="189">
        <f t="shared" ref="I39:I41" si="10">G39-H39</f>
        <v>17.112320000000011</v>
      </c>
      <c r="J39" s="88"/>
      <c r="K39" s="118">
        <f>(168.8+33.7)*0.9866</f>
        <v>199.78650000000002</v>
      </c>
      <c r="L39" s="118">
        <f>(139.3+44.6)*0.9158</f>
        <v>168.41561999999999</v>
      </c>
      <c r="M39" s="189">
        <f t="shared" ref="M39:M41" si="11">K39-L39</f>
        <v>31.370880000000028</v>
      </c>
      <c r="N39" s="88"/>
      <c r="O39" s="189">
        <f>(128.3+45.1)*0.8615</f>
        <v>149.38410000000002</v>
      </c>
      <c r="P39" s="189">
        <v>138.56005000000002</v>
      </c>
      <c r="Q39" s="189">
        <f t="shared" ref="Q39:Q41" si="12">O39-P39</f>
        <v>10.82405</v>
      </c>
      <c r="R39" s="88"/>
      <c r="S39" s="189">
        <f>(131.4+32.4)*0.8472</f>
        <v>138.77136000000002</v>
      </c>
      <c r="T39" s="189">
        <f>(146.6+29.9)*0.9075</f>
        <v>160.17374999999998</v>
      </c>
      <c r="U39" s="190">
        <f t="shared" ref="U39:U42" si="13">S39-T39</f>
        <v>-21.402389999999968</v>
      </c>
      <c r="V39" s="88"/>
      <c r="W39" s="189">
        <v>151.52063999999999</v>
      </c>
      <c r="X39" s="189">
        <v>147.85769999999999</v>
      </c>
      <c r="Y39" s="189">
        <f>W39-X39</f>
        <v>3.6629399999999919</v>
      </c>
      <c r="Z39" s="88"/>
      <c r="AA39" s="189">
        <v>143.15964</v>
      </c>
      <c r="AB39" s="189">
        <v>140.87111999999999</v>
      </c>
      <c r="AC39" s="189">
        <f>AA39-AB39</f>
        <v>2.2885200000000054</v>
      </c>
    </row>
    <row r="40" spans="1:29" ht="12.6" customHeight="1">
      <c r="A40" s="96" t="s">
        <v>703</v>
      </c>
      <c r="B40" s="88"/>
      <c r="C40" s="118">
        <v>35.25</v>
      </c>
      <c r="D40" s="118">
        <v>26.45</v>
      </c>
      <c r="E40" s="189">
        <f>C40-D40</f>
        <v>8.8000000000000007</v>
      </c>
      <c r="F40" s="88"/>
      <c r="G40" s="118">
        <v>25.14</v>
      </c>
      <c r="H40" s="118">
        <f>20.7*0.9188</f>
        <v>19.019159999999999</v>
      </c>
      <c r="I40" s="189">
        <f t="shared" si="10"/>
        <v>6.1208400000000012</v>
      </c>
      <c r="J40" s="88"/>
      <c r="K40" s="118">
        <f>(21.6)*0.9866</f>
        <v>21.310560000000002</v>
      </c>
      <c r="L40" s="118">
        <f>(25)*0.9158</f>
        <v>22.895</v>
      </c>
      <c r="M40" s="190">
        <f t="shared" si="11"/>
        <v>-1.5844399999999972</v>
      </c>
      <c r="N40" s="88"/>
      <c r="O40" s="189">
        <f>27*0.8615</f>
        <v>23.2605</v>
      </c>
      <c r="P40" s="189">
        <v>30.46115</v>
      </c>
      <c r="Q40" s="190">
        <f t="shared" si="12"/>
        <v>-7.2006499999999996</v>
      </c>
      <c r="R40" s="88"/>
      <c r="S40" s="189">
        <f>30.5*0.8472</f>
        <v>25.839599999999997</v>
      </c>
      <c r="T40" s="189">
        <f>41.6*0.9075</f>
        <v>37.752000000000002</v>
      </c>
      <c r="U40" s="190">
        <f t="shared" si="13"/>
        <v>-11.912400000000005</v>
      </c>
      <c r="V40" s="88"/>
      <c r="W40" s="189">
        <v>35.557319999999997</v>
      </c>
      <c r="X40" s="189">
        <v>34.663919999999997</v>
      </c>
      <c r="Y40" s="189">
        <f>W40-X40</f>
        <v>0.89339999999999975</v>
      </c>
      <c r="Z40" s="88"/>
      <c r="AA40" s="189">
        <v>7.0350800000000007</v>
      </c>
      <c r="AB40" s="189">
        <v>7.4588800000000006</v>
      </c>
      <c r="AC40" s="190">
        <f t="shared" ref="AC40:AC42" si="14">AA40-AB40</f>
        <v>-0.42379999999999995</v>
      </c>
    </row>
    <row r="41" spans="1:29" ht="12.6" customHeight="1">
      <c r="A41" s="96" t="s">
        <v>702</v>
      </c>
      <c r="B41" s="88"/>
      <c r="C41" s="118">
        <v>36.82</v>
      </c>
      <c r="D41" s="118">
        <v>30.89</v>
      </c>
      <c r="E41" s="118">
        <f>C41-D41</f>
        <v>5.93</v>
      </c>
      <c r="F41" s="88"/>
      <c r="G41" s="118">
        <v>21.07</v>
      </c>
      <c r="H41" s="118">
        <f>21.3*0.9188</f>
        <v>19.570439999999998</v>
      </c>
      <c r="I41" s="189">
        <f t="shared" si="10"/>
        <v>1.4995600000000024</v>
      </c>
      <c r="J41" s="88"/>
      <c r="K41" s="118">
        <f>(24.8)*0.9866</f>
        <v>24.467680000000001</v>
      </c>
      <c r="L41" s="118">
        <f>(24.7)*0.9158</f>
        <v>22.620259999999998</v>
      </c>
      <c r="M41" s="189">
        <f t="shared" si="11"/>
        <v>1.8474200000000032</v>
      </c>
      <c r="N41" s="88"/>
      <c r="O41" s="189">
        <f>37.3*0.8615</f>
        <v>32.133949999999999</v>
      </c>
      <c r="P41" s="189">
        <v>24.267100000000003</v>
      </c>
      <c r="Q41" s="189">
        <f t="shared" si="12"/>
        <v>7.8668499999999959</v>
      </c>
      <c r="R41" s="88"/>
      <c r="S41" s="189">
        <f>20.4*0.8472</f>
        <v>17.282879999999999</v>
      </c>
      <c r="T41" s="189">
        <f>17*0.9075</f>
        <v>15.4275</v>
      </c>
      <c r="U41" s="189">
        <f t="shared" si="13"/>
        <v>1.8553799999999985</v>
      </c>
      <c r="V41" s="88"/>
      <c r="W41" s="189">
        <v>9.6487200000000009</v>
      </c>
      <c r="X41" s="189">
        <v>7.5938999999999997</v>
      </c>
      <c r="Y41" s="189">
        <f>W41-X41</f>
        <v>2.0548200000000012</v>
      </c>
      <c r="Z41" s="88"/>
      <c r="AA41" s="189">
        <v>29.666</v>
      </c>
      <c r="AB41" s="189">
        <v>28.733640000000001</v>
      </c>
      <c r="AC41" s="189">
        <f t="shared" si="14"/>
        <v>0.93235999999999919</v>
      </c>
    </row>
    <row r="42" spans="1:29" ht="12.6" customHeight="1">
      <c r="A42" s="192" t="s">
        <v>22</v>
      </c>
      <c r="B42" s="88"/>
      <c r="C42" s="193">
        <f>SUM(C39:C41)</f>
        <v>280.74</v>
      </c>
      <c r="D42" s="193">
        <v>259.62</v>
      </c>
      <c r="E42" s="193">
        <f>C42-D42</f>
        <v>21.120000000000005</v>
      </c>
      <c r="F42" s="88"/>
      <c r="G42" s="193">
        <f>SUM(G39:G41)</f>
        <v>250.39</v>
      </c>
      <c r="H42" s="193">
        <f>SUM(H39:H41)</f>
        <v>225.65727999999999</v>
      </c>
      <c r="I42" s="193">
        <f>G42-H42</f>
        <v>24.73272</v>
      </c>
      <c r="J42" s="88"/>
      <c r="K42" s="193">
        <f>SUM(K39:K41)</f>
        <v>245.56474000000003</v>
      </c>
      <c r="L42" s="193">
        <f>SUM(L39:L41)</f>
        <v>213.93088</v>
      </c>
      <c r="M42" s="193">
        <f>K42-L42</f>
        <v>31.633860000000027</v>
      </c>
      <c r="N42" s="88"/>
      <c r="O42" s="193">
        <f>SUM(O39:O41)</f>
        <v>204.77855000000002</v>
      </c>
      <c r="P42" s="193">
        <f>SUM(P39:P41)</f>
        <v>193.28830000000002</v>
      </c>
      <c r="Q42" s="193">
        <f>O42-P42</f>
        <v>11.490250000000003</v>
      </c>
      <c r="R42" s="88"/>
      <c r="S42" s="193">
        <f>SUM(S39:S41)</f>
        <v>181.89384000000001</v>
      </c>
      <c r="T42" s="193">
        <f>SUM(T39:T41)</f>
        <v>213.35325</v>
      </c>
      <c r="U42" s="194">
        <f t="shared" si="13"/>
        <v>-31.459409999999991</v>
      </c>
      <c r="V42" s="88"/>
      <c r="W42" s="193">
        <f>SUM(W39:W40)</f>
        <v>187.07795999999999</v>
      </c>
      <c r="X42" s="193">
        <f>SUM(X39:X40)</f>
        <v>182.52161999999998</v>
      </c>
      <c r="Y42" s="193">
        <f t="shared" ref="Y42" si="15">W42-X42</f>
        <v>4.5563400000000058</v>
      </c>
      <c r="Z42" s="88"/>
      <c r="AA42" s="195">
        <f>SUM(AA39:AA41)</f>
        <v>179.86071999999999</v>
      </c>
      <c r="AB42" s="195">
        <f>SUM(AB39:AB41)</f>
        <v>177.06363999999999</v>
      </c>
      <c r="AC42" s="193">
        <f t="shared" si="14"/>
        <v>2.797079999999994</v>
      </c>
    </row>
    <row r="43" spans="1:29" ht="12.75" customHeight="1">
      <c r="A43" s="30"/>
      <c r="C43" s="30"/>
      <c r="D43" s="30"/>
      <c r="E43" s="30"/>
      <c r="G43" s="30"/>
      <c r="H43" s="30"/>
      <c r="I43" s="30"/>
      <c r="K43" s="30"/>
      <c r="L43" s="30"/>
      <c r="M43" s="30"/>
      <c r="O43" s="30"/>
      <c r="P43" s="30"/>
      <c r="Q43" s="30"/>
      <c r="S43" s="30"/>
      <c r="T43" s="30"/>
      <c r="U43" s="30"/>
    </row>
    <row r="44" spans="1:29" ht="12.6" customHeight="1">
      <c r="A44" s="30" t="s">
        <v>1659</v>
      </c>
      <c r="B44" s="30"/>
      <c r="C44" s="30"/>
      <c r="D44" s="30"/>
      <c r="E44" s="30"/>
      <c r="F44" s="30"/>
      <c r="G44" s="30"/>
      <c r="H44" s="30"/>
      <c r="I44" s="30"/>
      <c r="J44" s="30"/>
      <c r="K44" s="30"/>
      <c r="L44" s="30"/>
      <c r="M44" s="30"/>
      <c r="N44" s="30"/>
      <c r="O44" s="30"/>
      <c r="P44" s="30"/>
      <c r="Q44" s="30"/>
      <c r="R44" s="30"/>
      <c r="S44" s="30"/>
      <c r="T44" s="30"/>
      <c r="U44" s="30"/>
      <c r="V44" s="30"/>
    </row>
    <row r="45" spans="1:29" ht="12.6" customHeight="1">
      <c r="A45" s="30"/>
      <c r="C45" s="30"/>
      <c r="D45" s="30"/>
      <c r="E45" s="30"/>
      <c r="G45" s="30"/>
      <c r="H45" s="30"/>
      <c r="I45" s="30"/>
      <c r="K45" s="30"/>
      <c r="L45" s="30"/>
      <c r="M45" s="30"/>
      <c r="O45" s="30"/>
      <c r="P45" s="30"/>
      <c r="Q45" s="30"/>
      <c r="S45" s="30"/>
      <c r="T45" s="30"/>
      <c r="U45" s="30"/>
    </row>
    <row r="46" spans="1:29" ht="12.6" customHeight="1">
      <c r="A46" s="188"/>
      <c r="B46" s="88"/>
      <c r="C46" s="207">
        <v>2024</v>
      </c>
      <c r="D46" s="208"/>
      <c r="E46" s="208"/>
      <c r="F46" s="88"/>
      <c r="G46" s="207">
        <v>2023</v>
      </c>
      <c r="H46" s="208"/>
      <c r="I46" s="208"/>
      <c r="J46" s="88"/>
      <c r="K46" s="207">
        <v>2022</v>
      </c>
      <c r="L46" s="208"/>
      <c r="M46" s="208"/>
      <c r="N46" s="88"/>
      <c r="O46" s="209">
        <v>2021</v>
      </c>
      <c r="P46" s="210"/>
      <c r="Q46" s="211"/>
      <c r="R46" s="88"/>
      <c r="S46" s="209">
        <v>2020</v>
      </c>
      <c r="T46" s="210"/>
      <c r="U46" s="211"/>
      <c r="V46" s="88"/>
      <c r="W46" s="209">
        <v>2019</v>
      </c>
      <c r="X46" s="210"/>
      <c r="Y46" s="211"/>
      <c r="Z46" s="88"/>
      <c r="AA46" s="209">
        <v>2018</v>
      </c>
      <c r="AB46" s="210"/>
      <c r="AC46" s="211"/>
    </row>
    <row r="47" spans="1:29" ht="12.6" customHeight="1">
      <c r="A47" s="153"/>
      <c r="B47" s="88"/>
      <c r="C47" s="153" t="s">
        <v>698</v>
      </c>
      <c r="D47" s="153" t="s">
        <v>699</v>
      </c>
      <c r="E47" s="153" t="s">
        <v>696</v>
      </c>
      <c r="F47" s="88"/>
      <c r="G47" s="153" t="s">
        <v>698</v>
      </c>
      <c r="H47" s="153" t="s">
        <v>699</v>
      </c>
      <c r="I47" s="153" t="s">
        <v>696</v>
      </c>
      <c r="J47" s="88"/>
      <c r="K47" s="153" t="s">
        <v>698</v>
      </c>
      <c r="L47" s="153" t="s">
        <v>699</v>
      </c>
      <c r="M47" s="153" t="s">
        <v>696</v>
      </c>
      <c r="N47" s="88"/>
      <c r="O47" s="153" t="s">
        <v>698</v>
      </c>
      <c r="P47" s="153" t="s">
        <v>699</v>
      </c>
      <c r="Q47" s="153" t="s">
        <v>696</v>
      </c>
      <c r="R47" s="88"/>
      <c r="S47" s="153" t="s">
        <v>698</v>
      </c>
      <c r="T47" s="153" t="s">
        <v>699</v>
      </c>
      <c r="U47" s="153" t="s">
        <v>696</v>
      </c>
      <c r="V47" s="88"/>
      <c r="W47" s="153" t="s">
        <v>698</v>
      </c>
      <c r="X47" s="153" t="s">
        <v>699</v>
      </c>
      <c r="Y47" s="153" t="s">
        <v>696</v>
      </c>
      <c r="Z47" s="88"/>
      <c r="AA47" s="153" t="s">
        <v>698</v>
      </c>
      <c r="AB47" s="153" t="s">
        <v>699</v>
      </c>
      <c r="AC47" s="153" t="s">
        <v>696</v>
      </c>
    </row>
    <row r="48" spans="1:29" ht="12.6" customHeight="1">
      <c r="A48" s="96" t="s">
        <v>10</v>
      </c>
      <c r="B48" s="88"/>
      <c r="C48" s="189">
        <v>0</v>
      </c>
      <c r="D48" s="189">
        <v>0</v>
      </c>
      <c r="E48" s="189">
        <f>C48-D48</f>
        <v>0</v>
      </c>
      <c r="F48" s="88"/>
      <c r="G48" s="189">
        <v>0</v>
      </c>
      <c r="H48" s="189">
        <v>0</v>
      </c>
      <c r="I48" s="189">
        <f>G48-H48</f>
        <v>0</v>
      </c>
      <c r="J48" s="88"/>
      <c r="K48" s="189">
        <v>0.22493493400000003</v>
      </c>
      <c r="L48" s="189">
        <v>6.4856955999999993E-2</v>
      </c>
      <c r="M48" s="189">
        <f>K48-L48</f>
        <v>0.16007797800000004</v>
      </c>
      <c r="N48" s="88"/>
      <c r="O48" s="189">
        <v>0.182146945</v>
      </c>
      <c r="P48" s="189">
        <v>0</v>
      </c>
      <c r="Q48" s="189">
        <f>O48-P48</f>
        <v>0.182146945</v>
      </c>
      <c r="R48" s="88"/>
      <c r="S48" s="189">
        <v>0</v>
      </c>
      <c r="T48" s="189">
        <v>0</v>
      </c>
      <c r="U48" s="189">
        <f>S48-T48</f>
        <v>0</v>
      </c>
      <c r="V48" s="88"/>
      <c r="W48" s="189">
        <v>0.296736</v>
      </c>
      <c r="X48" s="189">
        <v>0</v>
      </c>
      <c r="Y48" s="189">
        <f>W48-X48</f>
        <v>0.296736</v>
      </c>
      <c r="Z48" s="88"/>
      <c r="AA48" s="189">
        <v>0</v>
      </c>
      <c r="AB48" s="189">
        <v>9.6376685999999989E-2</v>
      </c>
      <c r="AC48" s="190">
        <f>AA48-AB48</f>
        <v>-9.6376685999999989E-2</v>
      </c>
    </row>
    <row r="49" spans="1:29" ht="12.6" customHeight="1">
      <c r="A49" s="96" t="s">
        <v>11</v>
      </c>
      <c r="B49" s="88"/>
      <c r="C49" s="189">
        <v>0.08</v>
      </c>
      <c r="D49" s="189">
        <v>0</v>
      </c>
      <c r="E49" s="189">
        <f t="shared" ref="E49:E64" si="16">C49-D49</f>
        <v>0.08</v>
      </c>
      <c r="F49" s="88"/>
      <c r="G49" s="189">
        <v>0</v>
      </c>
      <c r="H49" s="189">
        <v>0</v>
      </c>
      <c r="I49" s="189">
        <f t="shared" ref="I49:I64" si="17">G49-H49</f>
        <v>0</v>
      </c>
      <c r="J49" s="88"/>
      <c r="K49" s="189">
        <v>0.26327421000000006</v>
      </c>
      <c r="L49" s="189">
        <v>0</v>
      </c>
      <c r="M49" s="189">
        <f t="shared" ref="M49:M64" si="18">K49-L49</f>
        <v>0.26327421000000006</v>
      </c>
      <c r="N49" s="88"/>
      <c r="O49" s="189">
        <v>0</v>
      </c>
      <c r="P49" s="189">
        <v>0</v>
      </c>
      <c r="Q49" s="189">
        <f t="shared" ref="Q49:Q64" si="19">O49-P49</f>
        <v>0</v>
      </c>
      <c r="R49" s="88"/>
      <c r="S49" s="189">
        <v>0</v>
      </c>
      <c r="T49" s="189">
        <v>0</v>
      </c>
      <c r="U49" s="189">
        <f t="shared" ref="U49:U64" si="20">S49-T49</f>
        <v>0</v>
      </c>
      <c r="V49" s="88"/>
      <c r="W49" s="189">
        <v>0</v>
      </c>
      <c r="X49" s="189">
        <v>0</v>
      </c>
      <c r="Y49" s="189">
        <f t="shared" ref="Y49:Y64" si="21">W49-X49</f>
        <v>0</v>
      </c>
      <c r="Z49" s="88"/>
      <c r="AA49" s="189">
        <v>0</v>
      </c>
      <c r="AB49" s="189">
        <v>4.8295813999999999E-2</v>
      </c>
      <c r="AC49" s="190">
        <f t="shared" ref="AC49:AC64" si="22">AA49-AB49</f>
        <v>-4.8295813999999999E-2</v>
      </c>
    </row>
    <row r="50" spans="1:29" ht="12.6" customHeight="1">
      <c r="A50" s="96" t="s">
        <v>693</v>
      </c>
      <c r="B50" s="88"/>
      <c r="C50" s="189">
        <v>0</v>
      </c>
      <c r="D50" s="189">
        <v>0</v>
      </c>
      <c r="E50" s="189">
        <f t="shared" si="16"/>
        <v>0</v>
      </c>
      <c r="F50" s="88"/>
      <c r="G50" s="189">
        <v>0</v>
      </c>
      <c r="H50" s="189">
        <v>0</v>
      </c>
      <c r="I50" s="189">
        <f t="shared" si="17"/>
        <v>0</v>
      </c>
      <c r="J50" s="88"/>
      <c r="K50" s="189">
        <v>0</v>
      </c>
      <c r="L50" s="189">
        <v>0</v>
      </c>
      <c r="M50" s="189">
        <f t="shared" si="18"/>
        <v>0</v>
      </c>
      <c r="N50" s="88"/>
      <c r="O50" s="189">
        <v>0</v>
      </c>
      <c r="P50" s="189">
        <v>0</v>
      </c>
      <c r="Q50" s="189">
        <f t="shared" si="19"/>
        <v>0</v>
      </c>
      <c r="R50" s="88"/>
      <c r="S50" s="189">
        <v>0</v>
      </c>
      <c r="T50" s="189">
        <v>0</v>
      </c>
      <c r="U50" s="189">
        <f t="shared" si="20"/>
        <v>0</v>
      </c>
      <c r="V50" s="88"/>
      <c r="W50" s="189">
        <v>4.1920704000000003E-2</v>
      </c>
      <c r="X50" s="189">
        <v>4.1807995999999993E-2</v>
      </c>
      <c r="Y50" s="189">
        <f t="shared" si="21"/>
        <v>1.1270800000000997E-4</v>
      </c>
      <c r="Z50" s="88"/>
      <c r="AA50" s="189">
        <v>0</v>
      </c>
      <c r="AB50" s="189">
        <v>0</v>
      </c>
      <c r="AC50" s="189">
        <f t="shared" si="22"/>
        <v>0</v>
      </c>
    </row>
    <row r="51" spans="1:29" ht="12.6" customHeight="1">
      <c r="A51" s="96" t="s">
        <v>694</v>
      </c>
      <c r="B51" s="88"/>
      <c r="C51" s="189">
        <v>0.86</v>
      </c>
      <c r="D51" s="189">
        <v>0.56000000000000005</v>
      </c>
      <c r="E51" s="189">
        <f>C51-D51</f>
        <v>0.29999999999999993</v>
      </c>
      <c r="F51" s="88"/>
      <c r="G51" s="189">
        <v>1</v>
      </c>
      <c r="H51" s="189">
        <v>0.50517461600000002</v>
      </c>
      <c r="I51" s="189">
        <f>G51-H51</f>
        <v>0.49482538399999998</v>
      </c>
      <c r="J51" s="88"/>
      <c r="K51" s="189">
        <v>9.4901053999999999E-2</v>
      </c>
      <c r="L51" s="189">
        <v>0.49408325799999997</v>
      </c>
      <c r="M51" s="190">
        <f>K51-L51</f>
        <v>-0.39918220399999998</v>
      </c>
      <c r="N51" s="88"/>
      <c r="O51" s="189">
        <v>1.6055086299999999</v>
      </c>
      <c r="P51" s="189">
        <v>0.27439999999999998</v>
      </c>
      <c r="Q51" s="189">
        <f>O51-P51</f>
        <v>1.3311086299999999</v>
      </c>
      <c r="R51" s="88"/>
      <c r="S51" s="189">
        <v>8.8278239999999994E-2</v>
      </c>
      <c r="T51" s="189">
        <v>0.229642875</v>
      </c>
      <c r="U51" s="190">
        <f t="shared" si="20"/>
        <v>-0.14136463500000002</v>
      </c>
      <c r="V51" s="88"/>
      <c r="W51" s="189">
        <v>0.78236694399999995</v>
      </c>
      <c r="X51" s="189">
        <v>0.13967570799999998</v>
      </c>
      <c r="Y51" s="189">
        <f t="shared" si="21"/>
        <v>0.642691236</v>
      </c>
      <c r="Z51" s="88"/>
      <c r="AA51" s="189">
        <v>1.5219685599999999</v>
      </c>
      <c r="AB51" s="189">
        <v>0.73359704599999997</v>
      </c>
      <c r="AC51" s="189">
        <f t="shared" si="22"/>
        <v>0.78837151399999994</v>
      </c>
    </row>
    <row r="52" spans="1:29" ht="12.6" customHeight="1">
      <c r="A52" s="96" t="s">
        <v>56</v>
      </c>
      <c r="B52" s="88"/>
      <c r="C52" s="189">
        <v>0</v>
      </c>
      <c r="D52" s="189">
        <v>0</v>
      </c>
      <c r="E52" s="189">
        <f t="shared" si="16"/>
        <v>0</v>
      </c>
      <c r="F52" s="88"/>
      <c r="G52" s="189">
        <v>0</v>
      </c>
      <c r="H52" s="189">
        <v>0</v>
      </c>
      <c r="I52" s="189">
        <f t="shared" si="17"/>
        <v>0</v>
      </c>
      <c r="J52" s="88"/>
      <c r="K52" s="189">
        <v>0</v>
      </c>
      <c r="L52" s="189">
        <v>0</v>
      </c>
      <c r="M52" s="189">
        <f t="shared" si="18"/>
        <v>0</v>
      </c>
      <c r="N52" s="88"/>
      <c r="O52" s="189">
        <v>0</v>
      </c>
      <c r="P52" s="189">
        <v>0</v>
      </c>
      <c r="Q52" s="189">
        <f t="shared" si="19"/>
        <v>0</v>
      </c>
      <c r="R52" s="88"/>
      <c r="S52" s="189">
        <v>0.41868623999999993</v>
      </c>
      <c r="T52" s="189">
        <v>0</v>
      </c>
      <c r="U52" s="189">
        <f t="shared" si="20"/>
        <v>0.41868623999999993</v>
      </c>
      <c r="V52" s="88"/>
      <c r="W52" s="189">
        <v>0</v>
      </c>
      <c r="X52" s="189">
        <v>7.0515031999999991E-2</v>
      </c>
      <c r="Y52" s="190">
        <f t="shared" si="21"/>
        <v>-7.0515031999999991E-2</v>
      </c>
      <c r="Z52" s="88"/>
      <c r="AA52" s="189">
        <v>0</v>
      </c>
      <c r="AB52" s="189">
        <v>0</v>
      </c>
      <c r="AC52" s="189">
        <f t="shared" si="22"/>
        <v>0</v>
      </c>
    </row>
    <row r="53" spans="1:29" ht="12.6" customHeight="1">
      <c r="A53" s="96" t="s">
        <v>12</v>
      </c>
      <c r="B53" s="88"/>
      <c r="C53" s="189">
        <v>2.4</v>
      </c>
      <c r="D53" s="189">
        <v>1.07</v>
      </c>
      <c r="E53" s="189">
        <v>1.46</v>
      </c>
      <c r="F53" s="88"/>
      <c r="G53" s="189">
        <v>2.335</v>
      </c>
      <c r="H53" s="189">
        <v>0.88580589199999993</v>
      </c>
      <c r="I53" s="189">
        <v>1.46</v>
      </c>
      <c r="J53" s="88"/>
      <c r="K53" s="189">
        <v>2.8223666200000004</v>
      </c>
      <c r="L53" s="189">
        <v>0.22382152</v>
      </c>
      <c r="M53" s="189">
        <f t="shared" si="18"/>
        <v>2.5985451000000004</v>
      </c>
      <c r="N53" s="88"/>
      <c r="O53" s="189">
        <v>0.83200224</v>
      </c>
      <c r="P53" s="189">
        <v>1.2391100000000002</v>
      </c>
      <c r="Q53" s="190">
        <f t="shared" si="19"/>
        <v>-0.40710776000000015</v>
      </c>
      <c r="R53" s="88"/>
      <c r="S53" s="189">
        <v>0.67719237599999993</v>
      </c>
      <c r="T53" s="189">
        <v>0.39471712499999995</v>
      </c>
      <c r="U53" s="189">
        <f t="shared" si="20"/>
        <v>0.28247525099999998</v>
      </c>
      <c r="V53" s="88"/>
      <c r="W53" s="189">
        <v>0.83184092800000009</v>
      </c>
      <c r="X53" s="189">
        <v>0.54176010399999996</v>
      </c>
      <c r="Y53" s="189">
        <f t="shared" si="21"/>
        <v>0.29008082400000013</v>
      </c>
      <c r="Z53" s="88"/>
      <c r="AA53" s="189">
        <v>0.39924527999999998</v>
      </c>
      <c r="AB53" s="189">
        <v>0.247563582</v>
      </c>
      <c r="AC53" s="189">
        <f t="shared" si="22"/>
        <v>0.15168169799999998</v>
      </c>
    </row>
    <row r="54" spans="1:29" ht="12.6" customHeight="1">
      <c r="A54" s="96" t="s">
        <v>13</v>
      </c>
      <c r="B54" s="88"/>
      <c r="C54" s="189">
        <v>0.52</v>
      </c>
      <c r="D54" s="189">
        <v>0.32</v>
      </c>
      <c r="E54" s="189">
        <f t="shared" si="16"/>
        <v>0.2</v>
      </c>
      <c r="F54" s="88"/>
      <c r="G54" s="189">
        <v>1.45</v>
      </c>
      <c r="H54" s="189">
        <v>0.34845489999999996</v>
      </c>
      <c r="I54" s="189">
        <f t="shared" si="17"/>
        <v>1.1015451000000001</v>
      </c>
      <c r="J54" s="88"/>
      <c r="K54" s="189">
        <v>1.0784623260000001</v>
      </c>
      <c r="L54" s="189">
        <v>0.32371698399999999</v>
      </c>
      <c r="M54" s="189">
        <f t="shared" si="18"/>
        <v>0.7547453420000001</v>
      </c>
      <c r="N54" s="88"/>
      <c r="O54" s="189">
        <v>0.31363769000000002</v>
      </c>
      <c r="P54" s="189">
        <v>0.27356999999999998</v>
      </c>
      <c r="Q54" s="189">
        <f t="shared" si="19"/>
        <v>4.0067690000000045E-2</v>
      </c>
      <c r="R54" s="88"/>
      <c r="S54" s="189">
        <v>1.6049017919999999</v>
      </c>
      <c r="T54" s="189">
        <v>0.65572319999999995</v>
      </c>
      <c r="U54" s="189">
        <f t="shared" si="20"/>
        <v>0.94917859199999999</v>
      </c>
      <c r="V54" s="88"/>
      <c r="W54" s="189">
        <v>0.74083289600000002</v>
      </c>
      <c r="X54" s="189">
        <v>5.0341324E-2</v>
      </c>
      <c r="Y54" s="189">
        <f t="shared" si="21"/>
        <v>0.690491572</v>
      </c>
      <c r="Z54" s="88"/>
      <c r="AA54" s="189">
        <v>0.99136015999999982</v>
      </c>
      <c r="AB54" s="189">
        <v>0.62514227299999992</v>
      </c>
      <c r="AC54" s="189">
        <f t="shared" si="22"/>
        <v>0.36621788699999991</v>
      </c>
    </row>
    <row r="55" spans="1:29" ht="12.6" customHeight="1">
      <c r="A55" s="96" t="s">
        <v>15</v>
      </c>
      <c r="B55" s="88"/>
      <c r="C55" s="189">
        <v>0.03</v>
      </c>
      <c r="D55" s="189">
        <v>0</v>
      </c>
      <c r="E55" s="189">
        <f t="shared" si="16"/>
        <v>0.03</v>
      </c>
      <c r="F55" s="88"/>
      <c r="G55" s="189">
        <v>0</v>
      </c>
      <c r="H55" s="189">
        <v>0</v>
      </c>
      <c r="I55" s="189">
        <f t="shared" si="17"/>
        <v>0</v>
      </c>
      <c r="J55" s="88"/>
      <c r="K55" s="189">
        <v>0</v>
      </c>
      <c r="L55" s="189">
        <v>0.39361084000000002</v>
      </c>
      <c r="M55" s="190">
        <f t="shared" si="18"/>
        <v>-0.39361084000000002</v>
      </c>
      <c r="N55" s="88"/>
      <c r="O55" s="189">
        <v>0</v>
      </c>
      <c r="P55" s="189">
        <v>0</v>
      </c>
      <c r="Q55" s="189">
        <f t="shared" si="19"/>
        <v>0</v>
      </c>
      <c r="R55" s="88"/>
      <c r="S55" s="189">
        <v>0</v>
      </c>
      <c r="T55" s="189">
        <v>0</v>
      </c>
      <c r="U55" s="189">
        <f t="shared" si="20"/>
        <v>0</v>
      </c>
      <c r="V55" s="88"/>
      <c r="W55" s="189">
        <v>0</v>
      </c>
      <c r="X55" s="189">
        <v>0</v>
      </c>
      <c r="Y55" s="189">
        <f t="shared" si="21"/>
        <v>0</v>
      </c>
      <c r="Z55" s="88"/>
      <c r="AA55" s="189">
        <v>7.4578560000000002E-2</v>
      </c>
      <c r="AB55" s="189">
        <v>0.10298201899999999</v>
      </c>
      <c r="AC55" s="190">
        <f t="shared" si="22"/>
        <v>-2.8403458999999992E-2</v>
      </c>
    </row>
    <row r="56" spans="1:29" ht="12.6" customHeight="1">
      <c r="A56" s="96" t="s">
        <v>16</v>
      </c>
      <c r="B56" s="88"/>
      <c r="C56" s="189">
        <v>1.1499999999999999</v>
      </c>
      <c r="D56" s="189">
        <v>3.23</v>
      </c>
      <c r="E56" s="190">
        <f t="shared" si="16"/>
        <v>-2.08</v>
      </c>
      <c r="F56" s="88"/>
      <c r="G56" s="189">
        <v>1.37</v>
      </c>
      <c r="H56" s="189">
        <v>1.4058742560000002</v>
      </c>
      <c r="I56" s="190">
        <f t="shared" si="17"/>
        <v>-3.5874256000000049E-2</v>
      </c>
      <c r="J56" s="88"/>
      <c r="K56" s="189">
        <v>2.0982614160000002</v>
      </c>
      <c r="L56" s="189">
        <v>0.79725884800000002</v>
      </c>
      <c r="M56" s="189">
        <f t="shared" si="18"/>
        <v>1.3010025680000001</v>
      </c>
      <c r="N56" s="88"/>
      <c r="O56" s="189">
        <v>0.95087200999999999</v>
      </c>
      <c r="P56" s="189">
        <v>0.46750999999999998</v>
      </c>
      <c r="Q56" s="189">
        <f t="shared" si="19"/>
        <v>0.48336201000000001</v>
      </c>
      <c r="R56" s="88"/>
      <c r="S56" s="189">
        <v>1.3489372560000001</v>
      </c>
      <c r="T56" s="189">
        <v>0.63044932500000006</v>
      </c>
      <c r="U56" s="189">
        <f t="shared" si="20"/>
        <v>0.71848793100000008</v>
      </c>
      <c r="V56" s="88"/>
      <c r="W56" s="189">
        <v>0.39939766399999999</v>
      </c>
      <c r="X56" s="189">
        <v>3.6108281719999997</v>
      </c>
      <c r="Y56" s="190">
        <f t="shared" si="21"/>
        <v>-3.2114305079999999</v>
      </c>
      <c r="Z56" s="88"/>
      <c r="AA56" s="189">
        <v>1.10897416</v>
      </c>
      <c r="AB56" s="189">
        <v>1.1791056759999998</v>
      </c>
      <c r="AC56" s="190">
        <f t="shared" si="22"/>
        <v>-7.0131515999999783E-2</v>
      </c>
    </row>
    <row r="57" spans="1:29" ht="12.6" customHeight="1">
      <c r="A57" s="96" t="s">
        <v>781</v>
      </c>
      <c r="B57" s="88"/>
      <c r="C57" s="189">
        <v>0</v>
      </c>
      <c r="D57" s="189">
        <v>0</v>
      </c>
      <c r="E57" s="189">
        <f t="shared" si="16"/>
        <v>0</v>
      </c>
      <c r="F57" s="88"/>
      <c r="G57" s="189">
        <v>0</v>
      </c>
      <c r="H57" s="189">
        <v>0</v>
      </c>
      <c r="I57" s="189">
        <f t="shared" si="17"/>
        <v>0</v>
      </c>
      <c r="J57" s="88"/>
      <c r="K57" s="189">
        <v>0</v>
      </c>
      <c r="L57" s="189">
        <v>0</v>
      </c>
      <c r="M57" s="189">
        <f t="shared" si="18"/>
        <v>0</v>
      </c>
      <c r="N57" s="88"/>
      <c r="O57" s="189">
        <v>0</v>
      </c>
      <c r="P57" s="189">
        <v>0</v>
      </c>
      <c r="Q57" s="189">
        <f t="shared" si="19"/>
        <v>0</v>
      </c>
      <c r="R57" s="88"/>
      <c r="S57" s="189">
        <v>0</v>
      </c>
      <c r="T57" s="189">
        <v>0</v>
      </c>
      <c r="U57" s="189">
        <f t="shared" si="20"/>
        <v>0</v>
      </c>
      <c r="V57" s="88"/>
      <c r="W57" s="189">
        <v>0</v>
      </c>
      <c r="X57" s="189">
        <v>0</v>
      </c>
      <c r="Y57" s="189">
        <f t="shared" si="21"/>
        <v>0</v>
      </c>
      <c r="Z57" s="88"/>
      <c r="AA57" s="189">
        <v>0</v>
      </c>
      <c r="AB57" s="189">
        <v>0.14054726699999998</v>
      </c>
      <c r="AC57" s="190">
        <f t="shared" si="22"/>
        <v>-0.14054726699999998</v>
      </c>
    </row>
    <row r="58" spans="1:29" ht="12.6" customHeight="1">
      <c r="A58" s="96" t="s">
        <v>17</v>
      </c>
      <c r="B58" s="88"/>
      <c r="C58" s="189">
        <v>0</v>
      </c>
      <c r="D58" s="189">
        <v>0</v>
      </c>
      <c r="E58" s="189">
        <f t="shared" si="16"/>
        <v>0</v>
      </c>
      <c r="F58" s="88"/>
      <c r="G58" s="189">
        <v>0</v>
      </c>
      <c r="H58" s="189">
        <v>0.29589954000000002</v>
      </c>
      <c r="I58" s="190">
        <f t="shared" si="17"/>
        <v>-0.29589954000000002</v>
      </c>
      <c r="J58" s="88"/>
      <c r="K58" s="189">
        <v>0.576884752</v>
      </c>
      <c r="L58" s="189">
        <v>9.5453834000000001E-2</v>
      </c>
      <c r="M58" s="189">
        <f t="shared" si="18"/>
        <v>0.48143091799999999</v>
      </c>
      <c r="N58" s="88"/>
      <c r="O58" s="189">
        <v>0.30391996999999998</v>
      </c>
      <c r="P58" s="189">
        <v>5.9420000000000001E-2</v>
      </c>
      <c r="Q58" s="189">
        <f t="shared" si="19"/>
        <v>0.24449996999999998</v>
      </c>
      <c r="R58" s="88"/>
      <c r="S58" s="189">
        <v>9.9978072000000001E-2</v>
      </c>
      <c r="T58" s="189">
        <v>0</v>
      </c>
      <c r="U58" s="189">
        <f t="shared" si="20"/>
        <v>9.9978072000000001E-2</v>
      </c>
      <c r="V58" s="88"/>
      <c r="W58" s="189">
        <v>0.40340809599999994</v>
      </c>
      <c r="X58" s="189">
        <v>0</v>
      </c>
      <c r="Y58" s="189">
        <f t="shared" si="21"/>
        <v>0.40340809599999994</v>
      </c>
      <c r="Z58" s="88"/>
      <c r="AA58" s="189">
        <v>1.2931724399999998</v>
      </c>
      <c r="AB58" s="189">
        <v>5.5802249999999998E-2</v>
      </c>
      <c r="AC58" s="189">
        <f t="shared" si="22"/>
        <v>1.2373701899999998</v>
      </c>
    </row>
    <row r="59" spans="1:29" ht="12.6" customHeight="1">
      <c r="A59" s="96" t="s">
        <v>782</v>
      </c>
      <c r="B59" s="88"/>
      <c r="C59" s="189">
        <v>0</v>
      </c>
      <c r="D59" s="189">
        <v>0</v>
      </c>
      <c r="E59" s="189">
        <f t="shared" si="16"/>
        <v>0</v>
      </c>
      <c r="F59" s="88"/>
      <c r="G59" s="189">
        <v>0</v>
      </c>
      <c r="H59" s="189">
        <v>0</v>
      </c>
      <c r="I59" s="189">
        <f t="shared" si="17"/>
        <v>0</v>
      </c>
      <c r="J59" s="88"/>
      <c r="K59" s="189">
        <v>0</v>
      </c>
      <c r="L59" s="189">
        <v>0</v>
      </c>
      <c r="M59" s="189">
        <f t="shared" si="18"/>
        <v>0</v>
      </c>
      <c r="N59" s="88"/>
      <c r="O59" s="189">
        <v>0</v>
      </c>
      <c r="P59" s="189">
        <v>0</v>
      </c>
      <c r="Q59" s="189">
        <f t="shared" si="19"/>
        <v>0</v>
      </c>
      <c r="R59" s="88"/>
      <c r="S59" s="189">
        <v>0</v>
      </c>
      <c r="T59" s="189">
        <v>0</v>
      </c>
      <c r="U59" s="189">
        <f t="shared" si="20"/>
        <v>0</v>
      </c>
      <c r="V59" s="88"/>
      <c r="W59" s="189">
        <v>0</v>
      </c>
      <c r="X59" s="189">
        <v>6.5442836000000004E-2</v>
      </c>
      <c r="Y59" s="190">
        <f t="shared" si="21"/>
        <v>-6.5442836000000004E-2</v>
      </c>
      <c r="Z59" s="88"/>
      <c r="AA59" s="189">
        <v>0.22892632000000002</v>
      </c>
      <c r="AB59" s="189">
        <v>0</v>
      </c>
      <c r="AC59" s="189">
        <f t="shared" si="22"/>
        <v>0.22892632000000002</v>
      </c>
    </row>
    <row r="60" spans="1:29" ht="12.6" customHeight="1">
      <c r="A60" s="96" t="s">
        <v>19</v>
      </c>
      <c r="B60" s="88"/>
      <c r="C60" s="189">
        <v>0</v>
      </c>
      <c r="D60" s="189">
        <v>0</v>
      </c>
      <c r="E60" s="189">
        <f t="shared" si="16"/>
        <v>0</v>
      </c>
      <c r="F60" s="88"/>
      <c r="G60" s="189">
        <v>0</v>
      </c>
      <c r="H60" s="189">
        <v>0</v>
      </c>
      <c r="I60" s="189">
        <f t="shared" si="17"/>
        <v>0</v>
      </c>
      <c r="J60" s="88"/>
      <c r="K60" s="189">
        <v>0</v>
      </c>
      <c r="L60" s="189">
        <v>0.100811264</v>
      </c>
      <c r="M60" s="190">
        <f t="shared" si="18"/>
        <v>-0.100811264</v>
      </c>
      <c r="N60" s="88"/>
      <c r="O60" s="189">
        <v>0</v>
      </c>
      <c r="P60" s="189">
        <v>0</v>
      </c>
      <c r="Q60" s="189">
        <f t="shared" si="19"/>
        <v>0</v>
      </c>
      <c r="R60" s="88"/>
      <c r="S60" s="189">
        <v>3.6387240000000001E-2</v>
      </c>
      <c r="T60" s="189">
        <v>0</v>
      </c>
      <c r="U60" s="189">
        <f t="shared" si="20"/>
        <v>3.6387240000000001E-2</v>
      </c>
      <c r="V60" s="88"/>
      <c r="W60" s="189">
        <v>0.136372672</v>
      </c>
      <c r="X60" s="189">
        <v>0</v>
      </c>
      <c r="Y60" s="189">
        <f t="shared" si="21"/>
        <v>0.136372672</v>
      </c>
      <c r="Z60" s="88"/>
      <c r="AA60" s="189">
        <v>0</v>
      </c>
      <c r="AB60" s="189">
        <v>0</v>
      </c>
      <c r="AC60" s="189">
        <f t="shared" si="22"/>
        <v>0</v>
      </c>
    </row>
    <row r="61" spans="1:29" ht="12.6" customHeight="1">
      <c r="A61" s="96" t="s">
        <v>697</v>
      </c>
      <c r="B61" s="88"/>
      <c r="C61" s="189">
        <v>0</v>
      </c>
      <c r="D61" s="189">
        <v>0</v>
      </c>
      <c r="E61" s="189">
        <f t="shared" si="16"/>
        <v>0</v>
      </c>
      <c r="F61" s="88"/>
      <c r="G61" s="189">
        <v>0</v>
      </c>
      <c r="H61" s="189">
        <v>8.5218699999999994E-2</v>
      </c>
      <c r="I61" s="190">
        <f t="shared" si="17"/>
        <v>-8.5218699999999994E-2</v>
      </c>
      <c r="J61" s="88"/>
      <c r="K61" s="189">
        <v>0</v>
      </c>
      <c r="L61" s="189">
        <v>0</v>
      </c>
      <c r="M61" s="189">
        <f t="shared" si="18"/>
        <v>0</v>
      </c>
      <c r="N61" s="88"/>
      <c r="O61" s="189">
        <v>0</v>
      </c>
      <c r="P61" s="189">
        <v>0</v>
      </c>
      <c r="Q61" s="189">
        <f t="shared" si="19"/>
        <v>0</v>
      </c>
      <c r="R61" s="88"/>
      <c r="S61" s="189">
        <v>0</v>
      </c>
      <c r="T61" s="189">
        <v>0</v>
      </c>
      <c r="U61" s="189">
        <f t="shared" si="20"/>
        <v>0</v>
      </c>
      <c r="V61" s="88"/>
      <c r="W61" s="189">
        <v>0</v>
      </c>
      <c r="X61" s="189">
        <v>4.2914495999999996E-2</v>
      </c>
      <c r="Y61" s="190">
        <f t="shared" si="21"/>
        <v>-4.2914495999999996E-2</v>
      </c>
      <c r="Z61" s="88"/>
      <c r="AA61" s="189">
        <v>0</v>
      </c>
      <c r="AB61" s="189">
        <v>0</v>
      </c>
      <c r="AC61" s="189">
        <f t="shared" si="22"/>
        <v>0</v>
      </c>
    </row>
    <row r="62" spans="1:29" ht="12.6" customHeight="1">
      <c r="A62" s="96" t="s">
        <v>564</v>
      </c>
      <c r="B62" s="88"/>
      <c r="C62" s="189">
        <v>0.1</v>
      </c>
      <c r="D62" s="189">
        <v>0</v>
      </c>
      <c r="E62" s="189">
        <f t="shared" si="16"/>
        <v>0.1</v>
      </c>
      <c r="F62" s="88"/>
      <c r="G62" s="189">
        <v>0</v>
      </c>
      <c r="H62" s="189">
        <v>9.4544519999999986E-3</v>
      </c>
      <c r="I62" s="190">
        <f t="shared" si="17"/>
        <v>-9.4544519999999986E-3</v>
      </c>
      <c r="J62" s="88"/>
      <c r="K62" s="189">
        <v>0</v>
      </c>
      <c r="L62" s="189">
        <v>0</v>
      </c>
      <c r="M62" s="189">
        <f t="shared" si="18"/>
        <v>0</v>
      </c>
      <c r="N62" s="88"/>
      <c r="O62" s="189">
        <v>0</v>
      </c>
      <c r="P62" s="189">
        <v>0</v>
      </c>
      <c r="Q62" s="189">
        <f t="shared" si="19"/>
        <v>0</v>
      </c>
      <c r="R62" s="88"/>
      <c r="S62" s="189">
        <v>3.3583007999999998E-2</v>
      </c>
      <c r="T62" s="189">
        <v>0</v>
      </c>
      <c r="U62" s="189">
        <f t="shared" si="20"/>
        <v>3.3583007999999998E-2</v>
      </c>
      <c r="V62" s="88"/>
      <c r="W62" s="189">
        <v>6.5147040000000003E-2</v>
      </c>
      <c r="X62" s="189">
        <v>7.2568696000000002E-2</v>
      </c>
      <c r="Y62" s="190">
        <f t="shared" si="21"/>
        <v>-7.4216559999999987E-3</v>
      </c>
      <c r="Z62" s="88"/>
      <c r="AA62" s="189">
        <v>1.322832E-2</v>
      </c>
      <c r="AB62" s="189">
        <v>0</v>
      </c>
      <c r="AC62" s="189">
        <f t="shared" si="22"/>
        <v>1.322832E-2</v>
      </c>
    </row>
    <row r="63" spans="1:29" ht="12.6" customHeight="1">
      <c r="A63" s="96" t="s">
        <v>695</v>
      </c>
      <c r="B63" s="88"/>
      <c r="C63" s="189">
        <v>0.82</v>
      </c>
      <c r="D63" s="189">
        <v>1.29</v>
      </c>
      <c r="E63" s="190">
        <f t="shared" si="16"/>
        <v>-0.47000000000000008</v>
      </c>
      <c r="F63" s="88"/>
      <c r="G63" s="189">
        <v>0.5</v>
      </c>
      <c r="H63" s="189">
        <v>1.7380296439999998</v>
      </c>
      <c r="I63" s="190">
        <f t="shared" si="17"/>
        <v>-1.2380296439999998</v>
      </c>
      <c r="J63" s="88"/>
      <c r="K63" s="189">
        <v>0.90805677400000007</v>
      </c>
      <c r="L63" s="189">
        <v>1.0482887860000001</v>
      </c>
      <c r="M63" s="190">
        <f t="shared" si="18"/>
        <v>-0.14023201200000002</v>
      </c>
      <c r="N63" s="88"/>
      <c r="O63" s="189">
        <v>1.8382083950000003</v>
      </c>
      <c r="P63" s="189">
        <v>0.27194999999999997</v>
      </c>
      <c r="Q63" s="189">
        <f t="shared" si="19"/>
        <v>1.5662583950000004</v>
      </c>
      <c r="R63" s="88"/>
      <c r="S63" s="189">
        <v>1.2195952319999999</v>
      </c>
      <c r="T63" s="189">
        <v>0.44708894999999998</v>
      </c>
      <c r="U63" s="189">
        <f t="shared" si="20"/>
        <v>0.77250628199999993</v>
      </c>
      <c r="V63" s="88"/>
      <c r="W63" s="189">
        <v>1.1528463359999999</v>
      </c>
      <c r="X63" s="189">
        <v>0.88260636400000003</v>
      </c>
      <c r="Y63" s="189">
        <f t="shared" si="21"/>
        <v>0.27023997199999983</v>
      </c>
      <c r="Z63" s="88"/>
      <c r="AA63" s="189">
        <v>2.1163749599999999</v>
      </c>
      <c r="AB63" s="189">
        <v>1.78955749</v>
      </c>
      <c r="AC63" s="189">
        <f t="shared" si="22"/>
        <v>0.32681746999999994</v>
      </c>
    </row>
    <row r="64" spans="1:29" ht="12.6" customHeight="1">
      <c r="A64" s="192" t="s">
        <v>44</v>
      </c>
      <c r="B64" s="88"/>
      <c r="C64" s="193">
        <v>5.96</v>
      </c>
      <c r="D64" s="193">
        <v>6.47</v>
      </c>
      <c r="E64" s="196">
        <f t="shared" si="16"/>
        <v>-0.50999999999999979</v>
      </c>
      <c r="F64" s="88"/>
      <c r="G64" s="193">
        <v>6.67</v>
      </c>
      <c r="H64" s="193">
        <v>5.3</v>
      </c>
      <c r="I64" s="193">
        <f t="shared" si="17"/>
        <v>1.37</v>
      </c>
      <c r="J64" s="88"/>
      <c r="K64" s="193">
        <f>SUM(K48:K63)</f>
        <v>8.0671420860000005</v>
      </c>
      <c r="L64" s="193">
        <f>SUM(L48:L63)</f>
        <v>3.5419022900000003</v>
      </c>
      <c r="M64" s="193">
        <f t="shared" si="18"/>
        <v>4.5252397960000001</v>
      </c>
      <c r="N64" s="88"/>
      <c r="O64" s="193">
        <f>SUM(O48:O63)</f>
        <v>6.026295880000001</v>
      </c>
      <c r="P64" s="193">
        <f>SUM(P48:P63)</f>
        <v>2.5859599999999996</v>
      </c>
      <c r="Q64" s="193">
        <f t="shared" si="19"/>
        <v>3.4403358800000015</v>
      </c>
      <c r="R64" s="88"/>
      <c r="S64" s="193">
        <f>SUM(S48:S63)</f>
        <v>5.5275394559999995</v>
      </c>
      <c r="T64" s="193">
        <f>SUM(T48:T63)</f>
        <v>2.3576214750000002</v>
      </c>
      <c r="U64" s="193">
        <f t="shared" si="20"/>
        <v>3.1699179809999993</v>
      </c>
      <c r="V64" s="88"/>
      <c r="W64" s="193">
        <v>4.8508692799999995</v>
      </c>
      <c r="X64" s="193">
        <v>5.518460728</v>
      </c>
      <c r="Y64" s="194">
        <f t="shared" si="21"/>
        <v>-0.66759144800000048</v>
      </c>
      <c r="Z64" s="88"/>
      <c r="AA64" s="193">
        <v>7.7478287599999982</v>
      </c>
      <c r="AB64" s="193">
        <v>5.018970103</v>
      </c>
      <c r="AC64" s="193">
        <f t="shared" si="22"/>
        <v>2.7288586569999982</v>
      </c>
    </row>
    <row r="65" spans="1:29" ht="12.6" customHeight="1">
      <c r="A65" s="88"/>
      <c r="B65" s="88"/>
      <c r="C65" s="88"/>
      <c r="D65" s="88"/>
      <c r="E65" s="88"/>
      <c r="F65" s="88"/>
      <c r="G65" s="93"/>
      <c r="H65" s="88"/>
      <c r="I65" s="88"/>
      <c r="J65" s="88"/>
      <c r="K65" s="88"/>
      <c r="L65" s="88"/>
      <c r="M65" s="88"/>
      <c r="N65" s="88"/>
      <c r="O65" s="88"/>
      <c r="P65" s="88"/>
      <c r="Q65" s="88"/>
      <c r="R65" s="88"/>
      <c r="S65" s="88"/>
      <c r="T65" s="88"/>
      <c r="U65" s="88"/>
      <c r="V65" s="88"/>
      <c r="W65" s="88"/>
      <c r="X65" s="88"/>
      <c r="Y65" s="88"/>
      <c r="Z65" s="88"/>
      <c r="AA65" s="88"/>
      <c r="AB65" s="88"/>
      <c r="AC65" s="88"/>
    </row>
    <row r="66" spans="1:29" ht="12.6" customHeight="1">
      <c r="A66" s="156" t="s">
        <v>2284</v>
      </c>
      <c r="B66" s="88"/>
      <c r="C66" s="88"/>
      <c r="D66" s="88"/>
      <c r="E66" s="156"/>
      <c r="F66" s="88"/>
      <c r="G66" s="156"/>
      <c r="H66" s="156"/>
      <c r="I66" s="156"/>
      <c r="J66" s="88"/>
      <c r="K66" s="156"/>
      <c r="L66" s="156"/>
      <c r="M66" s="156"/>
      <c r="N66" s="88"/>
      <c r="O66" s="156"/>
      <c r="P66" s="156"/>
      <c r="Q66" s="156"/>
      <c r="R66" s="88"/>
      <c r="S66" s="156"/>
      <c r="T66" s="156"/>
      <c r="U66" s="156"/>
      <c r="V66" s="88"/>
      <c r="W66" s="88"/>
      <c r="X66" s="88"/>
      <c r="Y66" s="88"/>
      <c r="Z66" s="88"/>
      <c r="AA66" s="88"/>
      <c r="AB66" s="88"/>
      <c r="AC66" s="88"/>
    </row>
    <row r="67" spans="1:29" ht="12.6" customHeight="1">
      <c r="A67" s="88"/>
      <c r="B67" s="88"/>
      <c r="C67" s="88"/>
      <c r="D67" s="88"/>
      <c r="E67" s="88"/>
      <c r="F67" s="88"/>
      <c r="G67" s="88"/>
      <c r="H67" s="88"/>
      <c r="I67" s="88"/>
      <c r="J67" s="88"/>
      <c r="K67" s="88"/>
      <c r="L67" s="88"/>
      <c r="M67" s="88"/>
      <c r="N67" s="88"/>
      <c r="O67" s="88"/>
      <c r="P67" s="88"/>
      <c r="Q67" s="88"/>
      <c r="R67" s="88"/>
      <c r="S67" s="88"/>
      <c r="T67" s="88"/>
      <c r="U67" s="88"/>
      <c r="V67" s="88"/>
      <c r="W67" s="88"/>
      <c r="X67" s="88"/>
      <c r="Y67" s="115"/>
      <c r="Z67" s="115"/>
      <c r="AA67" s="88"/>
      <c r="AB67" s="88"/>
      <c r="AC67" s="88"/>
    </row>
    <row r="69" spans="1:29" ht="12.6" customHeight="1">
      <c r="Y69" s="25"/>
    </row>
    <row r="70" spans="1:29" ht="12.6" customHeight="1">
      <c r="Y70" s="25"/>
    </row>
    <row r="71" spans="1:29" ht="12.6" customHeight="1">
      <c r="Y71" s="25"/>
    </row>
    <row r="72" spans="1:29" ht="12.6" customHeight="1">
      <c r="Y72" s="25"/>
    </row>
    <row r="73" spans="1:29" ht="12.6" customHeight="1">
      <c r="Y73" s="25"/>
    </row>
    <row r="74" spans="1:29" ht="12.6" customHeight="1">
      <c r="X74" s="25"/>
      <c r="Y74" s="25"/>
    </row>
    <row r="75" spans="1:29" ht="12.6" customHeight="1">
      <c r="X75" s="25"/>
      <c r="Y75" s="25"/>
    </row>
    <row r="76" spans="1:29" ht="12.6" customHeight="1">
      <c r="X76" s="25"/>
      <c r="Y76" s="25"/>
    </row>
    <row r="77" spans="1:29" ht="12.6" customHeight="1">
      <c r="X77" s="25"/>
      <c r="Y77" s="25"/>
    </row>
    <row r="78" spans="1:29" ht="12.6" customHeight="1">
      <c r="X78" s="25"/>
      <c r="Y78" s="25"/>
      <c r="Z78" s="26"/>
    </row>
    <row r="79" spans="1:29" ht="12.6" customHeight="1">
      <c r="X79" s="25"/>
      <c r="Y79" s="25"/>
      <c r="Z79" s="26"/>
    </row>
    <row r="80" spans="1:29" ht="12.6" customHeight="1">
      <c r="W80" s="25"/>
      <c r="X80" s="25"/>
      <c r="Y80" s="25"/>
      <c r="Z80" s="26"/>
    </row>
  </sheetData>
  <mergeCells count="28">
    <mergeCell ref="S13:U13"/>
    <mergeCell ref="S28:U28"/>
    <mergeCell ref="S37:U37"/>
    <mergeCell ref="S46:U46"/>
    <mergeCell ref="W13:Y13"/>
    <mergeCell ref="AA13:AC13"/>
    <mergeCell ref="W46:Y46"/>
    <mergeCell ref="AA46:AC46"/>
    <mergeCell ref="W37:Y37"/>
    <mergeCell ref="AA37:AC37"/>
    <mergeCell ref="W28:Y28"/>
    <mergeCell ref="AA28:AC28"/>
    <mergeCell ref="C13:E13"/>
    <mergeCell ref="C28:E28"/>
    <mergeCell ref="C37:E37"/>
    <mergeCell ref="C46:E46"/>
    <mergeCell ref="O28:Q28"/>
    <mergeCell ref="O37:Q37"/>
    <mergeCell ref="O46:Q46"/>
    <mergeCell ref="O13:Q13"/>
    <mergeCell ref="G13:I13"/>
    <mergeCell ref="G28:I28"/>
    <mergeCell ref="G37:I37"/>
    <mergeCell ref="G46:I46"/>
    <mergeCell ref="K13:M13"/>
    <mergeCell ref="K28:M28"/>
    <mergeCell ref="K37:M37"/>
    <mergeCell ref="K46:M46"/>
  </mergeCells>
  <phoneticPr fontId="0" type="noConversion"/>
  <pageMargins left="0.75" right="0.75" top="1" bottom="1" header="0.5" footer="0.5"/>
  <pageSetup scale="47" orientation="landscape" horizontalDpi="1200" verticalDpi="1200" r:id="rId1"/>
  <headerFooter alignWithMargins="0"/>
  <ignoredErrors>
    <ignoredError sqref="W42:X42"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8:CQ109"/>
  <sheetViews>
    <sheetView tabSelected="1" topLeftCell="A34" zoomScale="145" zoomScaleNormal="145" workbookViewId="0">
      <selection activeCell="C79" sqref="C79"/>
    </sheetView>
  </sheetViews>
  <sheetFormatPr defaultColWidth="8.85546875" defaultRowHeight="12.6" customHeight="1"/>
  <cols>
    <col min="1" max="1" width="15.85546875" style="9" customWidth="1"/>
    <col min="2" max="14" width="7.5703125" style="9" customWidth="1"/>
    <col min="15" max="15" width="8.42578125" style="9" bestFit="1" customWidth="1"/>
    <col min="16" max="26" width="7.5703125" style="9" customWidth="1"/>
    <col min="27" max="63" width="7.42578125" style="9" customWidth="1"/>
    <col min="64" max="16384" width="8.85546875" style="9"/>
  </cols>
  <sheetData>
    <row r="8" spans="1:26" ht="12.6" customHeight="1">
      <c r="A8" s="76" t="s">
        <v>36</v>
      </c>
      <c r="B8" s="34"/>
      <c r="C8" s="34"/>
      <c r="D8" s="34"/>
      <c r="E8" s="34"/>
      <c r="F8" s="34"/>
      <c r="G8" s="34"/>
      <c r="H8" s="34"/>
      <c r="I8" s="34"/>
      <c r="J8" s="8"/>
      <c r="K8" s="8"/>
      <c r="L8" s="8"/>
      <c r="M8" s="8"/>
      <c r="N8" s="8"/>
      <c r="O8" s="8"/>
      <c r="P8" s="8"/>
      <c r="Q8" s="8"/>
      <c r="R8" s="8"/>
      <c r="S8" s="8"/>
      <c r="T8" s="8"/>
      <c r="U8" s="8"/>
      <c r="V8" s="8"/>
      <c r="W8" s="8"/>
      <c r="X8" s="8"/>
      <c r="Y8" s="8"/>
      <c r="Z8" s="8"/>
    </row>
    <row r="9" spans="1:26" ht="12.6" customHeight="1">
      <c r="A9" s="77" t="s">
        <v>3</v>
      </c>
      <c r="B9" s="10"/>
      <c r="C9" s="10"/>
      <c r="D9" s="10"/>
      <c r="E9" s="10"/>
      <c r="F9" s="10"/>
      <c r="G9" s="10"/>
      <c r="H9" s="10"/>
      <c r="I9" s="10"/>
      <c r="J9" s="8"/>
      <c r="K9" s="8"/>
      <c r="L9" s="8"/>
      <c r="M9" s="8"/>
      <c r="N9" s="8"/>
      <c r="O9" s="8"/>
      <c r="P9" s="8"/>
      <c r="Q9" s="8"/>
      <c r="R9" s="8"/>
      <c r="S9" s="8"/>
      <c r="T9" s="8"/>
      <c r="U9" s="8"/>
      <c r="V9" s="8"/>
      <c r="W9" s="10"/>
      <c r="X9" s="8"/>
      <c r="Y9" s="8"/>
      <c r="Z9" s="8"/>
    </row>
    <row r="10" spans="1:26" ht="12.6" customHeight="1">
      <c r="J10" s="8"/>
      <c r="K10" s="8"/>
      <c r="L10" s="8"/>
      <c r="M10" s="8"/>
      <c r="N10" s="8"/>
      <c r="O10" s="8"/>
      <c r="P10" s="8"/>
      <c r="Q10" s="8"/>
      <c r="R10" s="8"/>
      <c r="S10" s="8"/>
      <c r="T10" s="8"/>
      <c r="U10" s="8"/>
      <c r="V10" s="8"/>
    </row>
    <row r="11" spans="1:26" ht="12.6" customHeight="1">
      <c r="A11" s="78" t="s">
        <v>758</v>
      </c>
      <c r="B11" s="27"/>
      <c r="C11" s="27"/>
      <c r="D11" s="27"/>
      <c r="E11" s="27"/>
      <c r="F11" s="27"/>
      <c r="G11" s="27"/>
      <c r="H11" s="27"/>
      <c r="I11" s="27"/>
      <c r="J11" s="8"/>
      <c r="K11" s="8"/>
      <c r="L11" s="8"/>
      <c r="M11" s="8"/>
      <c r="N11" s="8"/>
      <c r="O11" s="8"/>
      <c r="P11" s="8"/>
      <c r="Q11" s="8"/>
      <c r="R11" s="8"/>
      <c r="S11" s="8"/>
      <c r="T11" s="8"/>
      <c r="U11" s="8"/>
    </row>
    <row r="12" spans="1:26" ht="12.6" customHeight="1">
      <c r="A12" s="11"/>
      <c r="B12" s="11"/>
      <c r="C12" s="11"/>
      <c r="D12" s="11"/>
      <c r="E12" s="11"/>
      <c r="F12" s="11"/>
      <c r="G12" s="27"/>
      <c r="H12" s="27"/>
      <c r="I12" s="27"/>
      <c r="L12" s="8"/>
      <c r="M12" s="8"/>
      <c r="N12" s="8"/>
    </row>
    <row r="13" spans="1:26" ht="12.6" customHeight="1">
      <c r="A13" s="79"/>
      <c r="B13" s="80" t="s">
        <v>4</v>
      </c>
      <c r="C13" s="80" t="s">
        <v>5</v>
      </c>
      <c r="D13" s="80" t="s">
        <v>6</v>
      </c>
      <c r="E13" s="80" t="s">
        <v>7</v>
      </c>
      <c r="F13" s="80" t="s">
        <v>54</v>
      </c>
      <c r="O13" s="48"/>
    </row>
    <row r="14" spans="1:26" ht="12.6" customHeight="1">
      <c r="A14" s="81">
        <v>2010</v>
      </c>
      <c r="B14" s="82">
        <v>75.535722510000014</v>
      </c>
      <c r="C14" s="82">
        <v>32.558042675000003</v>
      </c>
      <c r="D14" s="82">
        <v>110.66711368279995</v>
      </c>
      <c r="E14" s="82">
        <v>159.19152970110002</v>
      </c>
      <c r="F14" s="83">
        <f t="shared" ref="F14:F29" si="0">SUM(B14:E14)</f>
        <v>377.95240856890001</v>
      </c>
      <c r="H14" s="48"/>
      <c r="I14" s="48"/>
      <c r="K14" s="48"/>
      <c r="L14" s="48"/>
      <c r="M14" s="48"/>
      <c r="N14" s="48"/>
      <c r="O14" s="48"/>
    </row>
    <row r="15" spans="1:26" ht="12" customHeight="1">
      <c r="A15" s="81">
        <v>2011</v>
      </c>
      <c r="B15" s="82">
        <v>115.16213581899997</v>
      </c>
      <c r="C15" s="82">
        <v>67.333205448149968</v>
      </c>
      <c r="D15" s="82">
        <v>57.141195920000001</v>
      </c>
      <c r="E15" s="82">
        <v>137.16346119770009</v>
      </c>
      <c r="F15" s="83">
        <f t="shared" si="0"/>
        <v>376.79999838485003</v>
      </c>
      <c r="H15" s="48"/>
      <c r="I15" s="48"/>
      <c r="L15" s="48"/>
      <c r="M15" s="48"/>
      <c r="N15" s="48"/>
      <c r="O15" s="48"/>
    </row>
    <row r="16" spans="1:26" ht="12" customHeight="1">
      <c r="A16" s="81">
        <v>2012</v>
      </c>
      <c r="B16" s="82">
        <v>64.278571482800004</v>
      </c>
      <c r="C16" s="82">
        <v>67.706679582299984</v>
      </c>
      <c r="D16" s="82">
        <v>61.975526428499975</v>
      </c>
      <c r="E16" s="82">
        <v>63.863444343709979</v>
      </c>
      <c r="F16" s="83">
        <f t="shared" si="0"/>
        <v>257.82422183730995</v>
      </c>
      <c r="H16" s="48"/>
      <c r="I16" s="48"/>
      <c r="L16" s="48"/>
      <c r="M16" s="48"/>
      <c r="N16" s="48"/>
      <c r="O16" s="48"/>
    </row>
    <row r="17" spans="1:20" ht="12" customHeight="1">
      <c r="A17" s="81">
        <v>2013</v>
      </c>
      <c r="B17" s="82">
        <v>32.751740779999992</v>
      </c>
      <c r="C17" s="82">
        <v>53.216803661699998</v>
      </c>
      <c r="D17" s="82">
        <v>38.378829402799987</v>
      </c>
      <c r="E17" s="82">
        <v>56.425475754800054</v>
      </c>
      <c r="F17" s="83">
        <f t="shared" si="0"/>
        <v>180.77284959930003</v>
      </c>
      <c r="H17" s="48"/>
      <c r="I17" s="48"/>
      <c r="L17" s="48"/>
      <c r="M17" s="48"/>
      <c r="N17" s="48"/>
      <c r="O17" s="48"/>
    </row>
    <row r="18" spans="1:20" ht="12" customHeight="1">
      <c r="A18" s="81">
        <v>2014</v>
      </c>
      <c r="B18" s="82">
        <v>19.979599999999994</v>
      </c>
      <c r="C18" s="82">
        <v>99.499099999999999</v>
      </c>
      <c r="D18" s="82">
        <v>37.82880000000003</v>
      </c>
      <c r="E18" s="82">
        <v>59.810800000000022</v>
      </c>
      <c r="F18" s="83">
        <f t="shared" si="0"/>
        <v>217.11830000000003</v>
      </c>
      <c r="H18" s="48"/>
      <c r="I18" s="48"/>
      <c r="L18" s="48"/>
      <c r="M18" s="48"/>
      <c r="N18" s="48"/>
      <c r="O18" s="48"/>
    </row>
    <row r="19" spans="1:20" ht="12" customHeight="1">
      <c r="A19" s="81">
        <v>2015</v>
      </c>
      <c r="B19" s="82">
        <v>35.745800000000003</v>
      </c>
      <c r="C19" s="82">
        <v>50.305000000000014</v>
      </c>
      <c r="D19" s="82">
        <v>57.828999999999979</v>
      </c>
      <c r="E19" s="82">
        <v>72.763499999999965</v>
      </c>
      <c r="F19" s="83">
        <f t="shared" si="0"/>
        <v>216.64329999999995</v>
      </c>
      <c r="H19" s="48"/>
      <c r="I19" s="48"/>
      <c r="L19" s="48"/>
      <c r="M19" s="48"/>
      <c r="N19" s="48"/>
      <c r="O19" s="48"/>
    </row>
    <row r="20" spans="1:20" ht="12" customHeight="1">
      <c r="A20" s="81">
        <v>2016</v>
      </c>
      <c r="B20" s="82">
        <v>57.01509999999999</v>
      </c>
      <c r="C20" s="82">
        <v>75.822900000000033</v>
      </c>
      <c r="D20" s="82">
        <v>46.592199999999991</v>
      </c>
      <c r="E20" s="82">
        <v>60.126700000000049</v>
      </c>
      <c r="F20" s="83">
        <f t="shared" si="0"/>
        <v>239.55690000000007</v>
      </c>
      <c r="H20" s="48"/>
      <c r="I20" s="48"/>
      <c r="L20" s="48"/>
      <c r="M20" s="48"/>
      <c r="N20" s="48"/>
      <c r="O20" s="48"/>
    </row>
    <row r="21" spans="1:20" ht="12" customHeight="1">
      <c r="A21" s="81">
        <v>2017</v>
      </c>
      <c r="B21" s="82">
        <v>40.218899999999998</v>
      </c>
      <c r="C21" s="82">
        <v>73.030900000000003</v>
      </c>
      <c r="D21" s="82">
        <v>49.139599999999987</v>
      </c>
      <c r="E21" s="82">
        <v>74.098400000000012</v>
      </c>
      <c r="F21" s="83">
        <f t="shared" si="0"/>
        <v>236.48779999999999</v>
      </c>
      <c r="H21" s="48"/>
      <c r="I21" s="48"/>
      <c r="L21" s="48"/>
      <c r="M21" s="48"/>
      <c r="N21" s="48"/>
      <c r="O21" s="48"/>
    </row>
    <row r="22" spans="1:20" ht="12" customHeight="1">
      <c r="A22" s="81">
        <v>2018</v>
      </c>
      <c r="B22" s="82">
        <v>58.485600000000005</v>
      </c>
      <c r="C22" s="82">
        <v>68.085899999999995</v>
      </c>
      <c r="D22" s="82">
        <v>54.5075</v>
      </c>
      <c r="E22" s="82">
        <v>88.588300000000004</v>
      </c>
      <c r="F22" s="83">
        <f t="shared" si="0"/>
        <v>269.66730000000001</v>
      </c>
      <c r="H22" s="48"/>
      <c r="I22" s="48"/>
      <c r="L22" s="48"/>
      <c r="M22" s="48"/>
      <c r="N22" s="48"/>
      <c r="O22" s="48"/>
    </row>
    <row r="23" spans="1:20" ht="12" customHeight="1">
      <c r="A23" s="81">
        <v>2019</v>
      </c>
      <c r="B23" s="82">
        <v>32.358528051599997</v>
      </c>
      <c r="C23" s="82">
        <v>60.725694838170099</v>
      </c>
      <c r="D23" s="82">
        <v>40.439666260999999</v>
      </c>
      <c r="E23" s="84">
        <v>87.362966354062536</v>
      </c>
      <c r="F23" s="83">
        <f t="shared" si="0"/>
        <v>220.88685550483265</v>
      </c>
      <c r="H23" s="48"/>
      <c r="I23" s="48"/>
      <c r="L23" s="48"/>
      <c r="M23" s="48"/>
      <c r="N23" s="48"/>
      <c r="O23" s="48"/>
    </row>
    <row r="24" spans="1:20" ht="12" customHeight="1">
      <c r="A24" s="81">
        <v>2020</v>
      </c>
      <c r="B24" s="82">
        <v>39.695</v>
      </c>
      <c r="C24" s="82">
        <v>49.248000000000005</v>
      </c>
      <c r="D24" s="82">
        <v>40.257000000000005</v>
      </c>
      <c r="E24" s="82">
        <v>65.5</v>
      </c>
      <c r="F24" s="83">
        <f t="shared" si="0"/>
        <v>194.70000000000002</v>
      </c>
      <c r="H24" s="48"/>
      <c r="I24" s="48"/>
      <c r="L24" s="48"/>
      <c r="M24" s="48"/>
      <c r="N24" s="48"/>
      <c r="O24" s="48"/>
    </row>
    <row r="25" spans="1:20" ht="12" customHeight="1">
      <c r="A25" s="81">
        <v>2021</v>
      </c>
      <c r="B25" s="82">
        <v>48.9</v>
      </c>
      <c r="C25" s="82">
        <v>36.4</v>
      </c>
      <c r="D25" s="82">
        <v>47.6</v>
      </c>
      <c r="E25" s="82">
        <v>100.2</v>
      </c>
      <c r="F25" s="83">
        <f t="shared" si="0"/>
        <v>233.10000000000002</v>
      </c>
      <c r="H25" s="48"/>
      <c r="I25" s="48"/>
      <c r="J25" s="39"/>
    </row>
    <row r="26" spans="1:20" ht="12.6" customHeight="1">
      <c r="A26" s="81">
        <v>2022</v>
      </c>
      <c r="B26" s="82">
        <f>Q37</f>
        <v>63.7</v>
      </c>
      <c r="C26" s="82">
        <f>R37</f>
        <v>34.200000000000003</v>
      </c>
      <c r="D26" s="82">
        <f>S37</f>
        <v>39.4</v>
      </c>
      <c r="E26" s="82">
        <f>T37</f>
        <v>65.5</v>
      </c>
      <c r="F26" s="83">
        <f t="shared" si="0"/>
        <v>202.8</v>
      </c>
      <c r="H26" s="48"/>
      <c r="I26" s="48"/>
      <c r="K26" s="14"/>
      <c r="L26" s="14"/>
    </row>
    <row r="27" spans="1:20" ht="12.6" customHeight="1">
      <c r="A27" s="81">
        <v>2023</v>
      </c>
      <c r="B27" s="82">
        <f>K37</f>
        <v>35.875073346919123</v>
      </c>
      <c r="C27" s="82">
        <v>95.7</v>
      </c>
      <c r="D27" s="82">
        <v>39.5</v>
      </c>
      <c r="E27" s="82">
        <v>42.2</v>
      </c>
      <c r="F27" s="83">
        <f t="shared" si="0"/>
        <v>213.2750733469191</v>
      </c>
      <c r="H27" s="48"/>
      <c r="I27" s="48"/>
      <c r="K27" s="14"/>
      <c r="L27" s="14"/>
    </row>
    <row r="28" spans="1:20" ht="12.6" customHeight="1">
      <c r="A28" s="81">
        <v>2024</v>
      </c>
      <c r="B28" s="82">
        <v>67.599999999999994</v>
      </c>
      <c r="C28" s="82">
        <v>66.5</v>
      </c>
      <c r="D28" s="82">
        <v>47.8</v>
      </c>
      <c r="E28" s="82">
        <v>63</v>
      </c>
      <c r="F28" s="83">
        <f t="shared" si="0"/>
        <v>244.89999999999998</v>
      </c>
      <c r="H28" s="48"/>
      <c r="I28" s="48"/>
      <c r="K28" s="14"/>
      <c r="L28" s="14"/>
    </row>
    <row r="29" spans="1:20" ht="12.6" customHeight="1">
      <c r="A29" s="81">
        <v>2025</v>
      </c>
      <c r="B29" s="82">
        <v>61.5</v>
      </c>
      <c r="C29" s="82">
        <v>78.910664095249999</v>
      </c>
      <c r="D29" s="82"/>
      <c r="E29" s="82"/>
      <c r="F29" s="83">
        <f t="shared" si="0"/>
        <v>140.41066409525001</v>
      </c>
      <c r="H29" s="48"/>
      <c r="I29" s="48"/>
      <c r="K29" s="14"/>
      <c r="L29" s="14"/>
    </row>
    <row r="30" spans="1:20" ht="12.6" customHeight="1">
      <c r="A30" s="10"/>
      <c r="B30" s="10"/>
      <c r="C30" s="26"/>
      <c r="D30" s="26"/>
      <c r="E30" s="59"/>
      <c r="F30" s="26"/>
      <c r="G30" s="59"/>
      <c r="H30" s="59"/>
      <c r="I30" s="10"/>
      <c r="J30" s="13"/>
      <c r="K30" s="14"/>
      <c r="L30" s="14"/>
      <c r="M30" s="14"/>
      <c r="N30" s="14"/>
      <c r="O30" s="14"/>
      <c r="P30" s="14"/>
    </row>
    <row r="31" spans="1:20" ht="12.6" customHeight="1">
      <c r="A31" s="10"/>
      <c r="B31" s="10"/>
      <c r="C31" s="26"/>
      <c r="D31" s="26"/>
      <c r="E31" s="26"/>
      <c r="F31" s="26"/>
      <c r="G31" s="26"/>
      <c r="H31" s="26"/>
      <c r="I31" s="10"/>
      <c r="J31" s="13"/>
      <c r="K31" s="14"/>
      <c r="L31" s="14"/>
      <c r="M31" s="14"/>
      <c r="N31" s="14"/>
      <c r="O31" s="14"/>
      <c r="P31" s="14"/>
    </row>
    <row r="32" spans="1:20" ht="12.6" customHeight="1">
      <c r="A32" s="78" t="s">
        <v>759</v>
      </c>
      <c r="B32" s="27"/>
      <c r="C32" s="27"/>
      <c r="D32" s="27"/>
      <c r="E32" s="27"/>
      <c r="F32" s="27"/>
      <c r="G32" s="27"/>
      <c r="H32" s="27"/>
      <c r="I32" s="27"/>
      <c r="J32" s="13"/>
      <c r="K32" s="13"/>
      <c r="L32" s="13"/>
      <c r="M32" s="13"/>
      <c r="N32" s="13"/>
      <c r="O32" s="13"/>
      <c r="P32" s="10"/>
      <c r="R32" s="8"/>
      <c r="S32" s="8"/>
      <c r="T32" s="8"/>
    </row>
    <row r="33" spans="1:42" ht="12.6" customHeight="1">
      <c r="B33" s="48"/>
      <c r="C33" s="48"/>
      <c r="E33" s="39"/>
      <c r="F33" s="39"/>
      <c r="G33" s="39"/>
      <c r="H33" s="39"/>
      <c r="I33" s="48"/>
      <c r="J33" s="48"/>
      <c r="L33" s="48"/>
      <c r="M33" s="39"/>
      <c r="N33" s="39"/>
      <c r="P33" s="48"/>
      <c r="R33" s="48"/>
      <c r="S33" s="39"/>
      <c r="T33" s="39"/>
      <c r="V33" s="48"/>
      <c r="X33" s="48"/>
      <c r="Y33" s="39"/>
      <c r="Z33" s="39"/>
      <c r="AE33" s="39"/>
      <c r="AF33" s="39"/>
      <c r="AK33" s="39"/>
      <c r="AL33" s="39"/>
    </row>
    <row r="34" spans="1:42" ht="12.6" customHeight="1">
      <c r="A34" s="79"/>
      <c r="B34" s="87" t="s">
        <v>2183</v>
      </c>
      <c r="C34" s="87" t="s">
        <v>2231</v>
      </c>
      <c r="D34" s="88"/>
      <c r="E34" s="87" t="s">
        <v>1913</v>
      </c>
      <c r="F34" s="87" t="s">
        <v>1968</v>
      </c>
      <c r="G34" s="87" t="s">
        <v>2019</v>
      </c>
      <c r="H34" s="87" t="s">
        <v>2068</v>
      </c>
      <c r="I34" s="87" t="s">
        <v>54</v>
      </c>
      <c r="J34" s="88"/>
      <c r="K34" s="87" t="s">
        <v>1588</v>
      </c>
      <c r="L34" s="87" t="s">
        <v>1661</v>
      </c>
      <c r="M34" s="87" t="s">
        <v>1727</v>
      </c>
      <c r="N34" s="87" t="s">
        <v>1784</v>
      </c>
      <c r="O34" s="87" t="s">
        <v>54</v>
      </c>
      <c r="P34" s="88"/>
      <c r="Q34" s="87" t="s">
        <v>1309</v>
      </c>
      <c r="R34" s="87" t="s">
        <v>1365</v>
      </c>
      <c r="S34" s="87" t="s">
        <v>1403</v>
      </c>
      <c r="T34" s="87" t="s">
        <v>1466</v>
      </c>
      <c r="U34" s="87" t="s">
        <v>54</v>
      </c>
      <c r="V34" s="88"/>
      <c r="W34" s="89" t="s">
        <v>1047</v>
      </c>
      <c r="X34" s="89" t="s">
        <v>1093</v>
      </c>
      <c r="Y34" s="89" t="s">
        <v>1141</v>
      </c>
      <c r="Z34" s="89" t="s">
        <v>1193</v>
      </c>
      <c r="AA34" s="87" t="s">
        <v>54</v>
      </c>
      <c r="AB34" s="88"/>
      <c r="AC34" s="89" t="s">
        <v>561</v>
      </c>
      <c r="AD34" s="89" t="s">
        <v>787</v>
      </c>
      <c r="AE34" s="89" t="s">
        <v>825</v>
      </c>
      <c r="AF34" s="89" t="s">
        <v>826</v>
      </c>
      <c r="AG34" s="87" t="s">
        <v>54</v>
      </c>
      <c r="AH34" s="88"/>
      <c r="AI34" s="87" t="s">
        <v>404</v>
      </c>
      <c r="AJ34" s="87" t="s">
        <v>405</v>
      </c>
      <c r="AK34" s="87" t="s">
        <v>406</v>
      </c>
      <c r="AL34" s="87" t="s">
        <v>407</v>
      </c>
      <c r="AM34" s="87" t="s">
        <v>54</v>
      </c>
    </row>
    <row r="35" spans="1:42" ht="12.6" customHeight="1">
      <c r="A35" s="81" t="s">
        <v>90</v>
      </c>
      <c r="B35" s="90">
        <v>38</v>
      </c>
      <c r="C35" s="90">
        <v>39.0557036752</v>
      </c>
      <c r="D35" s="88"/>
      <c r="E35" s="90">
        <v>32</v>
      </c>
      <c r="F35" s="90">
        <v>45.4</v>
      </c>
      <c r="G35" s="90">
        <v>35.4</v>
      </c>
      <c r="H35" s="90">
        <v>31.1</v>
      </c>
      <c r="I35" s="91">
        <v>144</v>
      </c>
      <c r="J35" s="88"/>
      <c r="K35" s="90">
        <v>19.868001648319122</v>
      </c>
      <c r="L35" s="90">
        <v>20.7</v>
      </c>
      <c r="M35" s="90">
        <v>25.8</v>
      </c>
      <c r="N35" s="90">
        <v>28.4</v>
      </c>
      <c r="O35" s="91">
        <v>94.7</v>
      </c>
      <c r="P35" s="88"/>
      <c r="Q35" s="90">
        <v>32.6</v>
      </c>
      <c r="R35" s="90">
        <v>15.9</v>
      </c>
      <c r="S35" s="90">
        <v>19</v>
      </c>
      <c r="T35" s="90">
        <v>11.6</v>
      </c>
      <c r="U35" s="91">
        <f>SUM(Q35:T35)</f>
        <v>79.099999999999994</v>
      </c>
      <c r="V35" s="92"/>
      <c r="W35" s="90">
        <v>30</v>
      </c>
      <c r="X35" s="90">
        <v>26.1</v>
      </c>
      <c r="Y35" s="90">
        <v>23.1</v>
      </c>
      <c r="Z35" s="90">
        <f>126-Y35-X35-W35</f>
        <v>46.800000000000011</v>
      </c>
      <c r="AA35" s="91">
        <f>SUM(W35:Z35)</f>
        <v>126.00000000000001</v>
      </c>
      <c r="AB35" s="92"/>
      <c r="AC35" s="90">
        <v>22.536999999999999</v>
      </c>
      <c r="AD35" s="90">
        <v>14.082000000000001</v>
      </c>
      <c r="AE35" s="90">
        <v>18.888000000000002</v>
      </c>
      <c r="AF35" s="90">
        <v>25.9</v>
      </c>
      <c r="AG35" s="91">
        <f>SUM(AC35:AF35)</f>
        <v>81.407000000000011</v>
      </c>
      <c r="AH35" s="88"/>
      <c r="AI35" s="90">
        <v>16.477599999999999</v>
      </c>
      <c r="AJ35" s="90">
        <v>27.699300000000001</v>
      </c>
      <c r="AK35" s="90">
        <v>31.086000000000002</v>
      </c>
      <c r="AL35" s="90">
        <v>43.898992178997119</v>
      </c>
      <c r="AM35" s="91">
        <f>SUM(AI35:AL35)</f>
        <v>119.16189217899712</v>
      </c>
    </row>
    <row r="36" spans="1:42" ht="12.6" customHeight="1">
      <c r="A36" s="81" t="s">
        <v>59</v>
      </c>
      <c r="B36" s="90">
        <v>23.5</v>
      </c>
      <c r="C36" s="90">
        <v>39.854960420049999</v>
      </c>
      <c r="D36" s="93"/>
      <c r="E36" s="90">
        <v>35.5</v>
      </c>
      <c r="F36" s="90">
        <v>21.1</v>
      </c>
      <c r="G36" s="90">
        <v>12.4</v>
      </c>
      <c r="H36" s="90">
        <v>31.8</v>
      </c>
      <c r="I36" s="91">
        <v>100.9</v>
      </c>
      <c r="J36" s="94"/>
      <c r="K36" s="90">
        <v>16.007071698600001</v>
      </c>
      <c r="L36" s="90">
        <v>75</v>
      </c>
      <c r="M36" s="90">
        <v>13.7</v>
      </c>
      <c r="N36" s="90">
        <v>13.8</v>
      </c>
      <c r="O36" s="91">
        <v>118.6</v>
      </c>
      <c r="P36" s="94"/>
      <c r="Q36" s="90">
        <v>31.1</v>
      </c>
      <c r="R36" s="90">
        <v>18.2</v>
      </c>
      <c r="S36" s="90">
        <v>20.399999999999999</v>
      </c>
      <c r="T36" s="90">
        <f>65.5-T35</f>
        <v>53.9</v>
      </c>
      <c r="U36" s="91">
        <f t="shared" ref="U36:U37" si="1">SUM(Q36:T36)</f>
        <v>123.6</v>
      </c>
      <c r="V36" s="92"/>
      <c r="W36" s="90">
        <v>18.899999999999999</v>
      </c>
      <c r="X36" s="90">
        <v>10.300000000000004</v>
      </c>
      <c r="Y36" s="90">
        <v>24.5</v>
      </c>
      <c r="Z36" s="90">
        <f>Z37-Z35</f>
        <v>53.399999999999977</v>
      </c>
      <c r="AA36" s="91">
        <f t="shared" ref="AA36:AA37" si="2">SUM(W36:Z36)</f>
        <v>107.09999999999998</v>
      </c>
      <c r="AB36" s="92"/>
      <c r="AC36" s="90">
        <v>17.158000000000001</v>
      </c>
      <c r="AD36" s="90">
        <v>35.165999999999997</v>
      </c>
      <c r="AE36" s="90">
        <v>21.376999999999999</v>
      </c>
      <c r="AF36" s="90">
        <v>39.6</v>
      </c>
      <c r="AG36" s="91">
        <f>SUM(AC36:AF36)</f>
        <v>113.30099999999999</v>
      </c>
      <c r="AH36" s="88"/>
      <c r="AI36" s="90">
        <v>15.881599999999997</v>
      </c>
      <c r="AJ36" s="90">
        <v>33.026800000000009</v>
      </c>
      <c r="AK36" s="90">
        <v>9.3549000000000007</v>
      </c>
      <c r="AL36" s="90">
        <v>43.463974175065403</v>
      </c>
      <c r="AM36" s="91">
        <f>SUM(AI36:AL36)</f>
        <v>101.72727417506542</v>
      </c>
    </row>
    <row r="37" spans="1:42" ht="12.6" customHeight="1">
      <c r="A37" s="95" t="s">
        <v>22</v>
      </c>
      <c r="B37" s="91">
        <f>SUM(B35:B36)</f>
        <v>61.5</v>
      </c>
      <c r="C37" s="91">
        <f>SUM(C35:C36)</f>
        <v>78.910664095249999</v>
      </c>
      <c r="D37" s="88"/>
      <c r="E37" s="91">
        <v>67.599999999999994</v>
      </c>
      <c r="F37" s="91">
        <v>66.5</v>
      </c>
      <c r="G37" s="91">
        <v>47.8</v>
      </c>
      <c r="H37" s="91">
        <v>63</v>
      </c>
      <c r="I37" s="91">
        <f>SUM(E37:H37)</f>
        <v>244.89999999999998</v>
      </c>
      <c r="J37" s="88"/>
      <c r="K37" s="91">
        <f>SUM(K35:K36)</f>
        <v>35.875073346919123</v>
      </c>
      <c r="L37" s="91">
        <f>SUM(L35:L36)</f>
        <v>95.7</v>
      </c>
      <c r="M37" s="91">
        <f>SUM(M35:M36)</f>
        <v>39.5</v>
      </c>
      <c r="N37" s="91">
        <f>SUM(N35:N36)</f>
        <v>42.2</v>
      </c>
      <c r="O37" s="91">
        <f t="shared" ref="O37" si="3">SUM(K37:N37)</f>
        <v>213.2750733469191</v>
      </c>
      <c r="P37" s="88"/>
      <c r="Q37" s="91">
        <f>SUM(Q35:Q36)</f>
        <v>63.7</v>
      </c>
      <c r="R37" s="91">
        <v>34.200000000000003</v>
      </c>
      <c r="S37" s="91">
        <f>SUM(S35:S36)</f>
        <v>39.4</v>
      </c>
      <c r="T37" s="91">
        <f>SUM(T35:T36)</f>
        <v>65.5</v>
      </c>
      <c r="U37" s="91">
        <f t="shared" si="1"/>
        <v>202.8</v>
      </c>
      <c r="V37" s="92"/>
      <c r="W37" s="91">
        <v>48.9</v>
      </c>
      <c r="X37" s="91">
        <v>36.4</v>
      </c>
      <c r="Y37" s="91">
        <v>47.6</v>
      </c>
      <c r="Z37" s="91">
        <f>233.1-Y37-X37-W37</f>
        <v>100.19999999999999</v>
      </c>
      <c r="AA37" s="91">
        <f t="shared" si="2"/>
        <v>233.1</v>
      </c>
      <c r="AB37" s="92"/>
      <c r="AC37" s="91">
        <f>AC49</f>
        <v>39.695</v>
      </c>
      <c r="AD37" s="91">
        <f>AD49</f>
        <v>49.248000000000005</v>
      </c>
      <c r="AE37" s="91">
        <f>AE49</f>
        <v>40.257000000000005</v>
      </c>
      <c r="AF37" s="91">
        <f>SUM(AF35:AF36)</f>
        <v>65.5</v>
      </c>
      <c r="AG37" s="91">
        <f>SUM(AC37:AF37)</f>
        <v>194.70000000000002</v>
      </c>
      <c r="AH37" s="88"/>
      <c r="AI37" s="91">
        <v>32.359199999999994</v>
      </c>
      <c r="AJ37" s="91">
        <v>60.72610000000001</v>
      </c>
      <c r="AK37" s="91">
        <v>40.440899999999999</v>
      </c>
      <c r="AL37" s="91">
        <v>87.362966354062522</v>
      </c>
      <c r="AM37" s="91">
        <f>SUM(AI37:AL37)</f>
        <v>220.88916635406252</v>
      </c>
    </row>
    <row r="38" spans="1:42" ht="12.6" customHeight="1">
      <c r="A38" s="39"/>
      <c r="B38" s="39"/>
      <c r="C38" s="39"/>
      <c r="D38" s="47"/>
      <c r="E38" s="39"/>
      <c r="F38" s="39"/>
      <c r="G38" s="39"/>
      <c r="H38" s="39"/>
      <c r="I38" s="47"/>
      <c r="J38" s="60"/>
      <c r="K38" s="47"/>
      <c r="L38" s="47"/>
      <c r="M38" s="47"/>
      <c r="N38" s="47"/>
      <c r="O38" s="47"/>
      <c r="P38" s="39"/>
      <c r="Q38" s="47"/>
      <c r="R38" s="47"/>
      <c r="S38" s="47"/>
      <c r="T38" s="47"/>
      <c r="U38" s="47"/>
      <c r="V38" s="49"/>
      <c r="W38" s="47"/>
      <c r="X38" s="47"/>
      <c r="Y38" s="47"/>
      <c r="Z38" s="47"/>
      <c r="AA38" s="47"/>
      <c r="AF38" s="47"/>
    </row>
    <row r="39" spans="1:42" ht="12.6" customHeight="1">
      <c r="A39" s="39"/>
      <c r="B39" s="60"/>
      <c r="C39" s="60"/>
      <c r="D39" s="39"/>
      <c r="E39" s="39"/>
      <c r="F39" s="39"/>
      <c r="G39" s="47"/>
      <c r="H39" s="47"/>
      <c r="I39" s="47"/>
      <c r="J39" s="39"/>
      <c r="K39" s="39"/>
      <c r="L39" s="39"/>
      <c r="M39" s="39"/>
      <c r="N39" s="47"/>
      <c r="O39" s="39"/>
      <c r="P39" s="39"/>
      <c r="Q39" s="39"/>
      <c r="R39" s="39"/>
      <c r="S39" s="39"/>
      <c r="T39" s="47"/>
      <c r="U39" s="39"/>
      <c r="V39" s="39"/>
      <c r="W39" s="51"/>
      <c r="X39" s="39"/>
      <c r="Y39" s="47"/>
      <c r="Z39" s="47"/>
      <c r="AA39" s="47"/>
      <c r="AB39" s="47"/>
      <c r="AC39" s="39"/>
      <c r="AD39" s="39"/>
      <c r="AE39" s="47"/>
      <c r="AF39" s="47"/>
      <c r="AG39" s="47"/>
      <c r="AH39" s="47"/>
      <c r="AI39" s="47"/>
    </row>
    <row r="40" spans="1:42" ht="12.6" customHeight="1">
      <c r="A40" s="78" t="s">
        <v>1140</v>
      </c>
      <c r="B40" s="27"/>
      <c r="C40" s="27"/>
      <c r="D40" s="39"/>
      <c r="E40" s="27"/>
      <c r="F40" s="27"/>
      <c r="G40" s="13"/>
      <c r="H40" s="13"/>
      <c r="I40" s="13"/>
      <c r="J40" s="39"/>
      <c r="K40" s="27"/>
      <c r="L40" s="27"/>
      <c r="M40" s="27"/>
      <c r="N40" s="13"/>
      <c r="O40" s="27"/>
      <c r="P40" s="27"/>
      <c r="Q40" s="27"/>
      <c r="R40" s="39"/>
      <c r="S40" s="39"/>
      <c r="T40" s="13"/>
      <c r="U40" s="13"/>
      <c r="V40" s="13"/>
      <c r="W40" s="8"/>
      <c r="X40" s="39"/>
      <c r="Z40" s="13"/>
      <c r="AA40" s="13"/>
      <c r="AB40" s="13"/>
      <c r="AC40" s="13"/>
      <c r="AD40" s="13"/>
      <c r="AE40" s="13"/>
      <c r="AF40" s="13"/>
      <c r="AG40" s="10"/>
      <c r="AI40" s="8"/>
    </row>
    <row r="41" spans="1:42" ht="12.6" customHeight="1">
      <c r="A41" s="15"/>
      <c r="B41" s="58"/>
      <c r="C41" s="58"/>
      <c r="D41" s="58"/>
      <c r="E41" s="58"/>
      <c r="F41" s="58"/>
      <c r="G41" s="8"/>
      <c r="H41" s="8"/>
      <c r="I41" s="8"/>
      <c r="J41" s="58"/>
      <c r="K41" s="58"/>
      <c r="L41" s="58"/>
      <c r="M41" s="58"/>
      <c r="N41" s="8"/>
      <c r="O41" s="15"/>
      <c r="P41" s="15"/>
      <c r="Q41" s="58"/>
      <c r="T41" s="8"/>
      <c r="U41" s="8"/>
      <c r="V41" s="8"/>
      <c r="Z41" s="8"/>
      <c r="AA41" s="8"/>
      <c r="AB41" s="8"/>
      <c r="AC41" s="8"/>
      <c r="AD41" s="8"/>
      <c r="AE41" s="8"/>
      <c r="AF41" s="8"/>
      <c r="AG41" s="8"/>
      <c r="AH41" s="8"/>
      <c r="AI41" s="8"/>
    </row>
    <row r="42" spans="1:42" ht="12.6" customHeight="1">
      <c r="A42" s="79"/>
      <c r="B42" s="87" t="s">
        <v>2183</v>
      </c>
      <c r="C42" s="87" t="s">
        <v>2231</v>
      </c>
      <c r="D42" s="88"/>
      <c r="E42" s="87" t="s">
        <v>1913</v>
      </c>
      <c r="F42" s="87" t="s">
        <v>1968</v>
      </c>
      <c r="G42" s="87" t="s">
        <v>2019</v>
      </c>
      <c r="H42" s="87" t="s">
        <v>2068</v>
      </c>
      <c r="I42" s="87" t="s">
        <v>54</v>
      </c>
      <c r="J42" s="88"/>
      <c r="K42" s="87" t="s">
        <v>1588</v>
      </c>
      <c r="L42" s="87" t="s">
        <v>1661</v>
      </c>
      <c r="M42" s="87" t="s">
        <v>1727</v>
      </c>
      <c r="N42" s="87" t="s">
        <v>1784</v>
      </c>
      <c r="O42" s="87" t="s">
        <v>54</v>
      </c>
      <c r="P42" s="88"/>
      <c r="Q42" s="87" t="s">
        <v>1309</v>
      </c>
      <c r="R42" s="87" t="s">
        <v>1365</v>
      </c>
      <c r="S42" s="87" t="s">
        <v>1403</v>
      </c>
      <c r="T42" s="87" t="s">
        <v>1466</v>
      </c>
      <c r="U42" s="87" t="s">
        <v>54</v>
      </c>
      <c r="V42" s="88"/>
      <c r="W42" s="89" t="s">
        <v>1047</v>
      </c>
      <c r="X42" s="89" t="s">
        <v>1093</v>
      </c>
      <c r="Y42" s="89" t="s">
        <v>1141</v>
      </c>
      <c r="Z42" s="89" t="s">
        <v>1193</v>
      </c>
      <c r="AA42" s="87" t="s">
        <v>54</v>
      </c>
      <c r="AB42" s="88"/>
      <c r="AC42" s="89" t="s">
        <v>561</v>
      </c>
      <c r="AD42" s="89" t="s">
        <v>787</v>
      </c>
      <c r="AE42" s="89" t="s">
        <v>825</v>
      </c>
      <c r="AF42" s="89" t="s">
        <v>826</v>
      </c>
      <c r="AG42" s="87" t="s">
        <v>54</v>
      </c>
      <c r="AH42" s="88"/>
      <c r="AI42" s="87" t="s">
        <v>404</v>
      </c>
      <c r="AJ42" s="87" t="s">
        <v>405</v>
      </c>
      <c r="AK42" s="87" t="s">
        <v>406</v>
      </c>
      <c r="AL42" s="87" t="s">
        <v>407</v>
      </c>
      <c r="AM42" s="87" t="s">
        <v>54</v>
      </c>
      <c r="AP42" s="39"/>
    </row>
    <row r="43" spans="1:42" ht="12.6" customHeight="1">
      <c r="A43" s="81" t="s">
        <v>88</v>
      </c>
      <c r="B43" s="90">
        <v>8.3000000000000007</v>
      </c>
      <c r="C43" s="90">
        <v>22.404123421800001</v>
      </c>
      <c r="D43" s="92"/>
      <c r="E43" s="90">
        <v>10.4</v>
      </c>
      <c r="F43" s="90">
        <v>21.1</v>
      </c>
      <c r="G43" s="90">
        <v>17.399999999999999</v>
      </c>
      <c r="H43" s="90">
        <v>13.8</v>
      </c>
      <c r="I43" s="83">
        <f>SUM(E43:H43)</f>
        <v>62.7</v>
      </c>
      <c r="J43" s="92"/>
      <c r="K43" s="90">
        <v>11.535763462999999</v>
      </c>
      <c r="L43" s="90">
        <v>15.4</v>
      </c>
      <c r="M43" s="90">
        <v>14.48433699378</v>
      </c>
      <c r="N43" s="90">
        <v>16.600000000000001</v>
      </c>
      <c r="O43" s="83">
        <v>58.1</v>
      </c>
      <c r="P43" s="88"/>
      <c r="Q43" s="90">
        <v>8.1999999999999993</v>
      </c>
      <c r="R43" s="90">
        <v>10.1</v>
      </c>
      <c r="S43" s="90">
        <v>9.8000000000000007</v>
      </c>
      <c r="T43" s="90">
        <v>5.9</v>
      </c>
      <c r="U43" s="83">
        <f>SUM(Q43:T43)</f>
        <v>34</v>
      </c>
      <c r="V43" s="88"/>
      <c r="W43" s="82">
        <v>14.4</v>
      </c>
      <c r="X43" s="82">
        <f>30.9-W43</f>
        <v>16.5</v>
      </c>
      <c r="Y43" s="82">
        <v>10.3</v>
      </c>
      <c r="Z43" s="82">
        <f>62.3-SUM(W43:Y43)</f>
        <v>21.099999999999994</v>
      </c>
      <c r="AA43" s="83">
        <f>SUM(W43:Z43)</f>
        <v>62.3</v>
      </c>
      <c r="AB43" s="88"/>
      <c r="AC43" s="82">
        <v>6.14</v>
      </c>
      <c r="AD43" s="82">
        <v>26.428000000000001</v>
      </c>
      <c r="AE43" s="82">
        <v>8.9320000000000004</v>
      </c>
      <c r="AF43" s="82">
        <v>28.9</v>
      </c>
      <c r="AG43" s="83">
        <f t="shared" ref="AG43:AG49" si="4">SUM(AC43:AF43)</f>
        <v>70.400000000000006</v>
      </c>
      <c r="AH43" s="88"/>
      <c r="AI43" s="82">
        <v>4.9833999999999996</v>
      </c>
      <c r="AJ43" s="82">
        <v>11.948499999999999</v>
      </c>
      <c r="AK43" s="82">
        <v>14.046500000000002</v>
      </c>
      <c r="AL43" s="82">
        <v>17.425509571036454</v>
      </c>
      <c r="AM43" s="83">
        <f>SUM(AI43:AL43)</f>
        <v>48.403909571036451</v>
      </c>
      <c r="AP43" s="39"/>
    </row>
    <row r="44" spans="1:42" ht="12.6" customHeight="1">
      <c r="A44" s="81" t="s">
        <v>89</v>
      </c>
      <c r="B44" s="90">
        <v>17.8</v>
      </c>
      <c r="C44" s="90">
        <v>12.3</v>
      </c>
      <c r="D44" s="92"/>
      <c r="E44" s="90">
        <v>11.6</v>
      </c>
      <c r="F44" s="90">
        <v>13.9</v>
      </c>
      <c r="G44" s="90">
        <v>10.6</v>
      </c>
      <c r="H44" s="90">
        <v>13.1</v>
      </c>
      <c r="I44" s="83">
        <f t="shared" ref="I44:I48" si="5">SUM(E44:H44)</f>
        <v>49.2</v>
      </c>
      <c r="J44" s="92"/>
      <c r="K44" s="90">
        <v>6.7</v>
      </c>
      <c r="L44" s="90">
        <v>5</v>
      </c>
      <c r="M44" s="90">
        <v>6.5</v>
      </c>
      <c r="N44" s="90">
        <v>8</v>
      </c>
      <c r="O44" s="83">
        <f t="shared" ref="O44:O49" si="6">SUM(K44:N44)</f>
        <v>26.2</v>
      </c>
      <c r="P44" s="88"/>
      <c r="Q44" s="90">
        <v>11.1</v>
      </c>
      <c r="R44" s="90">
        <v>6</v>
      </c>
      <c r="S44" s="90">
        <v>6.4</v>
      </c>
      <c r="T44" s="90">
        <v>6.1</v>
      </c>
      <c r="U44" s="83">
        <f t="shared" ref="U44:U49" si="7">SUM(Q44:T44)</f>
        <v>29.6</v>
      </c>
      <c r="V44" s="88"/>
      <c r="W44" s="82">
        <v>6.6</v>
      </c>
      <c r="X44" s="82">
        <f>14.7-W44</f>
        <v>8.1</v>
      </c>
      <c r="Y44" s="82">
        <v>8.8000000000000007</v>
      </c>
      <c r="Z44" s="82">
        <f>43.7-SUM(W44:Y44)</f>
        <v>20.200000000000003</v>
      </c>
      <c r="AA44" s="83">
        <f t="shared" ref="AA44:AA49" si="8">SUM(W44:Z44)</f>
        <v>43.7</v>
      </c>
      <c r="AB44" s="88"/>
      <c r="AC44" s="82">
        <v>5.8179999999999996</v>
      </c>
      <c r="AD44" s="82">
        <v>4.2889999999999997</v>
      </c>
      <c r="AE44" s="82">
        <v>4.9930000000000003</v>
      </c>
      <c r="AF44" s="82">
        <v>7</v>
      </c>
      <c r="AG44" s="83">
        <f t="shared" si="4"/>
        <v>22.1</v>
      </c>
      <c r="AH44" s="88"/>
      <c r="AI44" s="82">
        <v>7.2532999999999967</v>
      </c>
      <c r="AJ44" s="82">
        <v>9.7043999999999961</v>
      </c>
      <c r="AK44" s="82">
        <v>11.860299999999997</v>
      </c>
      <c r="AL44" s="82">
        <v>10.714942999999989</v>
      </c>
      <c r="AM44" s="83">
        <f>SUM(AI44:AL44)</f>
        <v>39.532942999999982</v>
      </c>
    </row>
    <row r="45" spans="1:42" ht="12.6" customHeight="1">
      <c r="A45" s="81" t="s">
        <v>8</v>
      </c>
      <c r="B45" s="90">
        <v>2.2000000000000002</v>
      </c>
      <c r="C45" s="90">
        <v>2.4677839729999995</v>
      </c>
      <c r="D45" s="92"/>
      <c r="E45" s="90">
        <v>0</v>
      </c>
      <c r="F45" s="90">
        <v>1.4</v>
      </c>
      <c r="G45" s="90">
        <v>0.7</v>
      </c>
      <c r="H45" s="90">
        <v>0.7</v>
      </c>
      <c r="I45" s="83">
        <f t="shared" si="5"/>
        <v>2.8</v>
      </c>
      <c r="J45" s="92"/>
      <c r="K45" s="90">
        <v>0</v>
      </c>
      <c r="L45" s="90">
        <v>0</v>
      </c>
      <c r="M45" s="90">
        <v>0.4</v>
      </c>
      <c r="N45" s="90">
        <v>3.1</v>
      </c>
      <c r="O45" s="83">
        <f t="shared" si="6"/>
        <v>3.5</v>
      </c>
      <c r="P45" s="88"/>
      <c r="Q45" s="90">
        <v>0.8</v>
      </c>
      <c r="R45" s="90">
        <v>0.7</v>
      </c>
      <c r="S45" s="90">
        <v>0</v>
      </c>
      <c r="T45" s="90">
        <v>4.0999999999999996</v>
      </c>
      <c r="U45" s="83">
        <f t="shared" si="7"/>
        <v>5.6</v>
      </c>
      <c r="V45" s="88"/>
      <c r="W45" s="82">
        <v>2.5</v>
      </c>
      <c r="X45" s="82">
        <f>3.7-W45</f>
        <v>1.2000000000000002</v>
      </c>
      <c r="Y45" s="82">
        <v>2.2000000000000002</v>
      </c>
      <c r="Z45" s="82">
        <f>7.3-Y45-X45-W45</f>
        <v>1.3999999999999995</v>
      </c>
      <c r="AA45" s="83">
        <f>SUM(W45:Z45)</f>
        <v>7.3</v>
      </c>
      <c r="AB45" s="88"/>
      <c r="AC45" s="82">
        <v>1.1240000000000001</v>
      </c>
      <c r="AD45" s="82">
        <v>0</v>
      </c>
      <c r="AE45" s="82">
        <v>0.67600000000000005</v>
      </c>
      <c r="AF45" s="82">
        <v>0.6</v>
      </c>
      <c r="AG45" s="83">
        <f t="shared" si="4"/>
        <v>2.4000000000000004</v>
      </c>
      <c r="AH45" s="88"/>
      <c r="AI45" s="82">
        <v>5.5E-2</v>
      </c>
      <c r="AJ45" s="82">
        <v>2.4504000000000006</v>
      </c>
      <c r="AK45" s="82">
        <v>1.4005000000000001</v>
      </c>
      <c r="AL45" s="82">
        <v>1.943923782533578</v>
      </c>
      <c r="AM45" s="83">
        <f>SUM(AI45:AL45)</f>
        <v>5.849823782533579</v>
      </c>
    </row>
    <row r="46" spans="1:42" ht="12.6" customHeight="1">
      <c r="A46" s="81" t="s">
        <v>9</v>
      </c>
      <c r="B46" s="90">
        <v>23.3</v>
      </c>
      <c r="C46" s="90">
        <v>40.823993768250006</v>
      </c>
      <c r="D46" s="92"/>
      <c r="E46" s="90">
        <v>45.5</v>
      </c>
      <c r="F46" s="90">
        <v>30.1</v>
      </c>
      <c r="G46" s="90">
        <v>10.5</v>
      </c>
      <c r="H46" s="90">
        <v>34.200000000000003</v>
      </c>
      <c r="I46" s="83">
        <v>120.4</v>
      </c>
      <c r="J46" s="92"/>
      <c r="K46" s="90">
        <v>17.639309883919122</v>
      </c>
      <c r="L46" s="90">
        <v>75.3</v>
      </c>
      <c r="M46" s="90">
        <v>18.154093290810003</v>
      </c>
      <c r="N46" s="90">
        <v>10.5</v>
      </c>
      <c r="O46" s="83">
        <f>SUM(K46:N46)</f>
        <v>121.59340317472913</v>
      </c>
      <c r="P46" s="88"/>
      <c r="Q46" s="90">
        <v>43.7</v>
      </c>
      <c r="R46" s="90">
        <v>17.399999999999999</v>
      </c>
      <c r="S46" s="90">
        <v>23.2</v>
      </c>
      <c r="T46" s="90">
        <v>20.100000000000001</v>
      </c>
      <c r="U46" s="83">
        <f>SUM(Q46:T46)</f>
        <v>104.4</v>
      </c>
      <c r="V46" s="88"/>
      <c r="W46" s="82">
        <v>21.9</v>
      </c>
      <c r="X46" s="82">
        <f>32-W46</f>
        <v>10.100000000000001</v>
      </c>
      <c r="Y46" s="82">
        <v>25.7</v>
      </c>
      <c r="Z46" s="82">
        <f>86.7-Y46-X46-W46</f>
        <v>29</v>
      </c>
      <c r="AA46" s="83">
        <f t="shared" si="8"/>
        <v>86.7</v>
      </c>
      <c r="AB46" s="88"/>
      <c r="AC46" s="82">
        <v>24.917000000000002</v>
      </c>
      <c r="AD46" s="82">
        <v>17.084</v>
      </c>
      <c r="AE46" s="82">
        <v>19.599</v>
      </c>
      <c r="AF46" s="82">
        <v>19</v>
      </c>
      <c r="AG46" s="83">
        <f t="shared" si="4"/>
        <v>80.600000000000009</v>
      </c>
      <c r="AH46" s="88"/>
      <c r="AI46" s="82">
        <v>20.067500000000006</v>
      </c>
      <c r="AJ46" s="82">
        <v>34.152899999999988</v>
      </c>
      <c r="AK46" s="82">
        <v>12.874799999999997</v>
      </c>
      <c r="AL46" s="82">
        <v>36.988072997701842</v>
      </c>
      <c r="AM46" s="83">
        <f>SUM(AI46:AL46)</f>
        <v>104.08327299770184</v>
      </c>
    </row>
    <row r="47" spans="1:42" ht="12.6" customHeight="1">
      <c r="A47" s="81" t="s">
        <v>58</v>
      </c>
      <c r="B47" s="90">
        <v>10</v>
      </c>
      <c r="C47" s="90">
        <v>0.91476293220000005</v>
      </c>
      <c r="D47" s="92"/>
      <c r="E47" s="90">
        <v>0</v>
      </c>
      <c r="F47" s="90">
        <v>0</v>
      </c>
      <c r="G47" s="90">
        <v>8.6</v>
      </c>
      <c r="H47" s="90">
        <v>1.2</v>
      </c>
      <c r="I47" s="83">
        <f t="shared" si="5"/>
        <v>9.7999999999999989</v>
      </c>
      <c r="J47" s="92"/>
      <c r="K47" s="90">
        <v>0</v>
      </c>
      <c r="L47" s="90">
        <v>0</v>
      </c>
      <c r="M47" s="90">
        <v>0</v>
      </c>
      <c r="N47" s="90">
        <v>4</v>
      </c>
      <c r="O47" s="83">
        <f>SUM(K47:N47)</f>
        <v>4</v>
      </c>
      <c r="P47" s="88"/>
      <c r="Q47" s="90">
        <v>0</v>
      </c>
      <c r="R47" s="90">
        <v>0</v>
      </c>
      <c r="S47" s="90">
        <v>0</v>
      </c>
      <c r="T47" s="90">
        <v>29.3</v>
      </c>
      <c r="U47" s="83">
        <f t="shared" si="7"/>
        <v>29.3</v>
      </c>
      <c r="V47" s="88"/>
      <c r="W47" s="82">
        <v>2</v>
      </c>
      <c r="X47" s="82">
        <f>0</f>
        <v>0</v>
      </c>
      <c r="Y47" s="82">
        <v>0.5</v>
      </c>
      <c r="Z47" s="82">
        <f>28.4-Y47-X47-W47</f>
        <v>25.9</v>
      </c>
      <c r="AA47" s="83">
        <f t="shared" si="8"/>
        <v>28.4</v>
      </c>
      <c r="AB47" s="88"/>
      <c r="AC47" s="82">
        <v>0</v>
      </c>
      <c r="AD47" s="82">
        <v>0</v>
      </c>
      <c r="AE47" s="82">
        <v>5.0999999999999996</v>
      </c>
      <c r="AF47" s="82">
        <v>2.4</v>
      </c>
      <c r="AG47" s="83">
        <f t="shared" si="4"/>
        <v>7.5</v>
      </c>
      <c r="AH47" s="88"/>
      <c r="AI47" s="82">
        <v>0</v>
      </c>
      <c r="AJ47" s="82">
        <v>2.4699</v>
      </c>
      <c r="AK47" s="82">
        <v>0.25879999999999997</v>
      </c>
      <c r="AL47" s="82">
        <v>20.290517002790676</v>
      </c>
      <c r="AM47" s="83">
        <f>SUM(AI47:AL47)</f>
        <v>23.019217002790676</v>
      </c>
    </row>
    <row r="48" spans="1:42" ht="12.6" customHeight="1">
      <c r="A48" s="96" t="s">
        <v>562</v>
      </c>
      <c r="B48" s="90">
        <v>0</v>
      </c>
      <c r="C48" s="90">
        <v>0</v>
      </c>
      <c r="D48" s="92"/>
      <c r="E48" s="90">
        <v>0</v>
      </c>
      <c r="F48" s="90">
        <v>0</v>
      </c>
      <c r="G48" s="90">
        <v>0</v>
      </c>
      <c r="H48" s="90">
        <v>0</v>
      </c>
      <c r="I48" s="83">
        <f t="shared" si="5"/>
        <v>0</v>
      </c>
      <c r="J48" s="92"/>
      <c r="K48" s="90">
        <v>0</v>
      </c>
      <c r="L48" s="90">
        <v>0</v>
      </c>
      <c r="M48" s="90">
        <v>0</v>
      </c>
      <c r="N48" s="90">
        <v>0</v>
      </c>
      <c r="O48" s="83">
        <f t="shared" si="6"/>
        <v>0</v>
      </c>
      <c r="P48" s="88"/>
      <c r="Q48" s="90">
        <v>0</v>
      </c>
      <c r="R48" s="90">
        <v>0</v>
      </c>
      <c r="S48" s="90">
        <v>0</v>
      </c>
      <c r="T48" s="90">
        <v>0</v>
      </c>
      <c r="U48" s="83">
        <f t="shared" si="7"/>
        <v>0</v>
      </c>
      <c r="V48" s="88"/>
      <c r="W48" s="82">
        <v>1.6</v>
      </c>
      <c r="X48" s="82">
        <f>1.9-W48</f>
        <v>0.29999999999999982</v>
      </c>
      <c r="Y48" s="82">
        <v>0</v>
      </c>
      <c r="Z48" s="82">
        <f>4.8-Y48-X48-W48</f>
        <v>2.9</v>
      </c>
      <c r="AA48" s="83">
        <f t="shared" si="8"/>
        <v>4.8</v>
      </c>
      <c r="AB48" s="88"/>
      <c r="AC48" s="82">
        <v>1.696</v>
      </c>
      <c r="AD48" s="82">
        <v>1.4470000000000001</v>
      </c>
      <c r="AE48" s="82">
        <v>0.95699999999999996</v>
      </c>
      <c r="AF48" s="82">
        <v>7.6</v>
      </c>
      <c r="AG48" s="83">
        <f t="shared" si="4"/>
        <v>11.7</v>
      </c>
      <c r="AH48" s="88"/>
      <c r="AI48" s="82"/>
      <c r="AJ48" s="82"/>
      <c r="AK48" s="82"/>
      <c r="AL48" s="82"/>
      <c r="AM48" s="83"/>
    </row>
    <row r="49" spans="1:44" ht="12.6" customHeight="1">
      <c r="A49" s="95" t="s">
        <v>22</v>
      </c>
      <c r="B49" s="91">
        <v>61.5</v>
      </c>
      <c r="C49" s="91">
        <v>78.910664095249999</v>
      </c>
      <c r="D49" s="92"/>
      <c r="E49" s="91">
        <v>67.599999999999994</v>
      </c>
      <c r="F49" s="91">
        <f>SUM(F43:F48)</f>
        <v>66.5</v>
      </c>
      <c r="G49" s="91">
        <v>47.8</v>
      </c>
      <c r="H49" s="91">
        <v>63</v>
      </c>
      <c r="I49" s="83">
        <f>SUM(E49:H49)</f>
        <v>244.89999999999998</v>
      </c>
      <c r="J49" s="92"/>
      <c r="K49" s="91">
        <f>SUM(K43:K48)</f>
        <v>35.875073346919123</v>
      </c>
      <c r="L49" s="91">
        <f>SUM(L43:L48)</f>
        <v>95.699999999999989</v>
      </c>
      <c r="M49" s="91">
        <f>SUM(M43:M48)</f>
        <v>39.53843028459</v>
      </c>
      <c r="N49" s="91">
        <f>SUM(N43:N48)</f>
        <v>42.2</v>
      </c>
      <c r="O49" s="83">
        <f t="shared" si="6"/>
        <v>213.31350363150909</v>
      </c>
      <c r="P49" s="88"/>
      <c r="Q49" s="91">
        <v>63.7</v>
      </c>
      <c r="R49" s="91">
        <f>SUM(R43:R48)</f>
        <v>34.200000000000003</v>
      </c>
      <c r="S49" s="91">
        <f>SUM(S43:S48)</f>
        <v>39.400000000000006</v>
      </c>
      <c r="T49" s="91">
        <f>SUM(T43:T48)</f>
        <v>65.5</v>
      </c>
      <c r="U49" s="83">
        <f t="shared" si="7"/>
        <v>202.8</v>
      </c>
      <c r="V49" s="88"/>
      <c r="W49" s="83">
        <v>48.9</v>
      </c>
      <c r="X49" s="83">
        <v>36.4</v>
      </c>
      <c r="Y49" s="83">
        <v>47.6</v>
      </c>
      <c r="Z49" s="83">
        <v>100.2</v>
      </c>
      <c r="AA49" s="83">
        <f t="shared" si="8"/>
        <v>233.10000000000002</v>
      </c>
      <c r="AB49" s="88"/>
      <c r="AC49" s="83">
        <f>SUM(AC43:AC48)</f>
        <v>39.695</v>
      </c>
      <c r="AD49" s="83">
        <f>SUM(AD43:AD48)</f>
        <v>49.248000000000005</v>
      </c>
      <c r="AE49" s="83">
        <f>SUM(AE43:AE48)</f>
        <v>40.257000000000005</v>
      </c>
      <c r="AF49" s="83">
        <f>SUM(AF43:AF48)</f>
        <v>65.5</v>
      </c>
      <c r="AG49" s="83">
        <f t="shared" si="4"/>
        <v>194.70000000000002</v>
      </c>
      <c r="AH49" s="88"/>
      <c r="AI49" s="83">
        <f>SUM(AI43:AI48)</f>
        <v>32.359200000000001</v>
      </c>
      <c r="AJ49" s="83">
        <f t="shared" ref="AJ49:AL49" si="9">SUM(AJ43:AJ48)</f>
        <v>60.726099999999988</v>
      </c>
      <c r="AK49" s="83">
        <f t="shared" si="9"/>
        <v>40.440899999999992</v>
      </c>
      <c r="AL49" s="83">
        <f t="shared" si="9"/>
        <v>87.362966354062536</v>
      </c>
      <c r="AM49" s="83">
        <f>SUM(AM43:AM48)</f>
        <v>220.88916635406252</v>
      </c>
    </row>
    <row r="50" spans="1:44" ht="12.6" customHeight="1">
      <c r="G50" s="39"/>
      <c r="H50" s="39"/>
      <c r="I50" s="39"/>
      <c r="N50" s="39"/>
      <c r="T50" s="39"/>
      <c r="U50" s="39"/>
      <c r="V50" s="39"/>
      <c r="W50" s="39"/>
      <c r="Z50" s="39"/>
      <c r="AA50" s="39"/>
      <c r="AB50" s="39"/>
      <c r="AC50" s="39"/>
      <c r="AD50" s="39"/>
      <c r="AF50" s="25"/>
      <c r="AG50" s="25"/>
      <c r="AH50" s="25"/>
      <c r="AK50" s="25"/>
    </row>
    <row r="51" spans="1:44" ht="12.6" customHeight="1">
      <c r="A51" s="78" t="s">
        <v>761</v>
      </c>
      <c r="B51" s="27"/>
      <c r="C51" s="27"/>
      <c r="D51" s="27"/>
      <c r="E51" s="27"/>
      <c r="F51" s="27"/>
      <c r="G51" s="13"/>
      <c r="H51" s="13"/>
      <c r="I51" s="13"/>
      <c r="J51" s="27"/>
      <c r="K51" s="27"/>
      <c r="L51" s="27"/>
      <c r="M51" s="27"/>
      <c r="N51" s="13"/>
      <c r="O51" s="27"/>
      <c r="P51" s="27"/>
      <c r="Q51" s="27"/>
      <c r="R51" s="8"/>
      <c r="T51" s="13"/>
      <c r="U51" s="13"/>
      <c r="V51" s="13"/>
      <c r="W51" s="13"/>
      <c r="X51" s="8"/>
      <c r="Z51" s="13"/>
      <c r="AA51" s="13"/>
      <c r="AB51" s="13"/>
      <c r="AC51" s="13"/>
      <c r="AD51" s="13"/>
      <c r="AF51" s="13"/>
      <c r="AG51" s="13"/>
      <c r="AH51" s="10"/>
      <c r="AJ51" s="8"/>
      <c r="AN51" s="16"/>
      <c r="AO51" s="16"/>
      <c r="AP51" s="16"/>
      <c r="AQ51" s="16"/>
      <c r="AR51" s="16"/>
    </row>
    <row r="52" spans="1:44" ht="12.6" customHeight="1">
      <c r="A52" s="17" t="s">
        <v>2</v>
      </c>
      <c r="B52" s="17"/>
      <c r="C52" s="17"/>
      <c r="D52" s="17"/>
      <c r="E52" s="17"/>
      <c r="F52" s="17"/>
      <c r="G52" s="13"/>
      <c r="H52" s="13"/>
      <c r="I52" s="13"/>
      <c r="J52" s="17"/>
      <c r="K52" s="17"/>
      <c r="L52" s="17"/>
      <c r="M52" s="17"/>
      <c r="N52" s="13"/>
      <c r="O52" s="17"/>
      <c r="P52" s="17"/>
      <c r="Q52" s="17"/>
      <c r="R52" s="8"/>
      <c r="T52" s="13"/>
      <c r="U52" s="13"/>
      <c r="V52" s="13"/>
      <c r="W52" s="13"/>
      <c r="X52" s="8"/>
      <c r="Z52" s="13"/>
      <c r="AA52" s="13"/>
      <c r="AB52" s="13"/>
      <c r="AC52" s="13"/>
      <c r="AD52" s="13"/>
      <c r="AF52" s="13"/>
      <c r="AG52" s="13"/>
      <c r="AH52" s="13"/>
      <c r="AJ52" s="8"/>
      <c r="AN52" s="16"/>
      <c r="AO52" s="16"/>
      <c r="AP52" s="16"/>
      <c r="AQ52" s="16"/>
      <c r="AR52" s="16"/>
    </row>
    <row r="53" spans="1:44" ht="12.6" customHeight="1">
      <c r="A53" s="79"/>
      <c r="B53" s="87" t="s">
        <v>2183</v>
      </c>
      <c r="C53" s="87" t="s">
        <v>2231</v>
      </c>
      <c r="D53" s="88"/>
      <c r="E53" s="87" t="s">
        <v>1913</v>
      </c>
      <c r="F53" s="87" t="s">
        <v>1968</v>
      </c>
      <c r="G53" s="87" t="s">
        <v>2019</v>
      </c>
      <c r="H53" s="87" t="s">
        <v>2068</v>
      </c>
      <c r="I53" s="87" t="s">
        <v>54</v>
      </c>
      <c r="J53" s="88"/>
      <c r="K53" s="87" t="s">
        <v>1588</v>
      </c>
      <c r="L53" s="87" t="s">
        <v>1661</v>
      </c>
      <c r="M53" s="87" t="s">
        <v>1727</v>
      </c>
      <c r="N53" s="87" t="s">
        <v>1784</v>
      </c>
      <c r="O53" s="87" t="s">
        <v>54</v>
      </c>
      <c r="P53" s="88"/>
      <c r="Q53" s="87" t="s">
        <v>1309</v>
      </c>
      <c r="R53" s="87" t="s">
        <v>1365</v>
      </c>
      <c r="S53" s="87" t="s">
        <v>1403</v>
      </c>
      <c r="T53" s="87" t="s">
        <v>1466</v>
      </c>
      <c r="U53" s="87" t="s">
        <v>54</v>
      </c>
      <c r="V53" s="88"/>
      <c r="W53" s="89" t="s">
        <v>1047</v>
      </c>
      <c r="X53" s="89" t="s">
        <v>1093</v>
      </c>
      <c r="Y53" s="89" t="s">
        <v>1141</v>
      </c>
      <c r="Z53" s="89" t="s">
        <v>1193</v>
      </c>
      <c r="AA53" s="87" t="s">
        <v>54</v>
      </c>
      <c r="AB53" s="88"/>
      <c r="AC53" s="89" t="s">
        <v>561</v>
      </c>
      <c r="AD53" s="89" t="s">
        <v>787</v>
      </c>
      <c r="AE53" s="89" t="s">
        <v>825</v>
      </c>
      <c r="AF53" s="89" t="s">
        <v>826</v>
      </c>
      <c r="AG53" s="87" t="s">
        <v>54</v>
      </c>
      <c r="AH53" s="88"/>
      <c r="AI53" s="87" t="s">
        <v>404</v>
      </c>
      <c r="AJ53" s="87" t="s">
        <v>405</v>
      </c>
      <c r="AK53" s="87" t="s">
        <v>406</v>
      </c>
      <c r="AL53" s="87" t="s">
        <v>407</v>
      </c>
      <c r="AM53" s="87" t="s">
        <v>54</v>
      </c>
      <c r="AN53" s="16"/>
      <c r="AO53" s="16"/>
      <c r="AP53" s="16"/>
      <c r="AQ53" s="16"/>
    </row>
    <row r="54" spans="1:44" ht="12.6" customHeight="1">
      <c r="A54" s="97" t="s">
        <v>88</v>
      </c>
      <c r="B54" s="90">
        <v>78.099999999999994</v>
      </c>
      <c r="C54" s="90">
        <v>65.7</v>
      </c>
      <c r="D54" s="98"/>
      <c r="E54" s="90">
        <v>79.599999999999994</v>
      </c>
      <c r="F54" s="90">
        <v>82.8</v>
      </c>
      <c r="G54" s="90">
        <v>69.599999999999994</v>
      </c>
      <c r="H54" s="90">
        <v>48.1</v>
      </c>
      <c r="I54" s="83">
        <f>SUM(E54:H54)</f>
        <v>280.09999999999997</v>
      </c>
      <c r="J54" s="98"/>
      <c r="K54" s="90">
        <v>55.5</v>
      </c>
      <c r="L54" s="90">
        <v>59.8</v>
      </c>
      <c r="M54" s="90">
        <v>62.3</v>
      </c>
      <c r="N54" s="90">
        <v>46.2</v>
      </c>
      <c r="O54" s="83">
        <f t="shared" ref="O54:O55" si="10">SUM(K54:N54)</f>
        <v>223.8</v>
      </c>
      <c r="P54" s="98"/>
      <c r="Q54" s="90">
        <v>61.7</v>
      </c>
      <c r="R54" s="90">
        <v>69.689626584400017</v>
      </c>
      <c r="S54" s="90">
        <v>52.4</v>
      </c>
      <c r="T54" s="90">
        <v>41.539776754700007</v>
      </c>
      <c r="U54" s="83">
        <f>SUM(Q54:T54)</f>
        <v>225.32940333910003</v>
      </c>
      <c r="V54" s="88"/>
      <c r="W54" s="90">
        <v>60.812051265600005</v>
      </c>
      <c r="X54" s="90">
        <v>68.845010554399991</v>
      </c>
      <c r="Y54" s="90">
        <v>73.224029488000028</v>
      </c>
      <c r="Z54" s="90">
        <v>67.21448545020003</v>
      </c>
      <c r="AA54" s="83">
        <f>SUM(W54:Z54)</f>
        <v>270.09557675820002</v>
      </c>
      <c r="AB54" s="88"/>
      <c r="AC54" s="90">
        <v>46.858009463999998</v>
      </c>
      <c r="AD54" s="90">
        <v>31.996159387999999</v>
      </c>
      <c r="AE54" s="90">
        <v>57.090732934799988</v>
      </c>
      <c r="AF54" s="90">
        <v>39.908985226500008</v>
      </c>
      <c r="AG54" s="83">
        <f>SUM(AC54:AF54)</f>
        <v>175.85388701329998</v>
      </c>
      <c r="AH54" s="88"/>
      <c r="AI54" s="82">
        <v>49.306531106799994</v>
      </c>
      <c r="AJ54" s="82">
        <v>58.937937123179999</v>
      </c>
      <c r="AK54" s="82">
        <v>48.962797881300006</v>
      </c>
      <c r="AL54" s="82">
        <v>53.586378774000011</v>
      </c>
      <c r="AM54" s="83">
        <f>SUM(AI54:AL54)</f>
        <v>210.79364488528</v>
      </c>
      <c r="AN54" s="16"/>
      <c r="AO54" s="16"/>
      <c r="AP54" s="16"/>
      <c r="AQ54" s="16"/>
    </row>
    <row r="55" spans="1:44" ht="12.6" customHeight="1">
      <c r="A55" s="81" t="s">
        <v>39</v>
      </c>
      <c r="B55" s="90">
        <v>25.4</v>
      </c>
      <c r="C55" s="90">
        <v>30.1</v>
      </c>
      <c r="D55" s="98"/>
      <c r="E55" s="90">
        <v>17.3</v>
      </c>
      <c r="F55" s="90">
        <v>14.2</v>
      </c>
      <c r="G55" s="90">
        <v>19.7</v>
      </c>
      <c r="H55" s="90">
        <v>27.1</v>
      </c>
      <c r="I55" s="83">
        <v>78.2</v>
      </c>
      <c r="J55" s="98"/>
      <c r="K55" s="90">
        <v>8.9</v>
      </c>
      <c r="L55" s="90">
        <v>5.6</v>
      </c>
      <c r="M55" s="90">
        <v>5.3</v>
      </c>
      <c r="N55" s="90">
        <v>6.6</v>
      </c>
      <c r="O55" s="83">
        <f t="shared" si="10"/>
        <v>26.4</v>
      </c>
      <c r="P55" s="98"/>
      <c r="Q55" s="90">
        <v>22.141866125700005</v>
      </c>
      <c r="R55" s="90">
        <v>24.636274323999999</v>
      </c>
      <c r="S55" s="90">
        <v>9.8000000000000007</v>
      </c>
      <c r="T55" s="90">
        <v>3.0783681899999999</v>
      </c>
      <c r="U55" s="83">
        <f t="shared" ref="U55:U59" si="11">SUM(Q55:T55)</f>
        <v>59.6565086397</v>
      </c>
      <c r="V55" s="88"/>
      <c r="W55" s="90">
        <v>58.134862425600012</v>
      </c>
      <c r="X55" s="90">
        <v>43.226512081599999</v>
      </c>
      <c r="Y55" s="90">
        <v>46.587840274499996</v>
      </c>
      <c r="Z55" s="90">
        <v>74.781061112199978</v>
      </c>
      <c r="AA55" s="83">
        <f t="shared" ref="AA55:AA58" si="12">SUM(W55:Z55)</f>
        <v>222.73027589389997</v>
      </c>
      <c r="AB55" s="88"/>
      <c r="AC55" s="90">
        <v>20.379743596799997</v>
      </c>
      <c r="AD55" s="90">
        <v>17.558714227999996</v>
      </c>
      <c r="AE55" s="90">
        <v>26.1192644349</v>
      </c>
      <c r="AF55" s="90">
        <v>25.787400054000003</v>
      </c>
      <c r="AG55" s="83">
        <f t="shared" ref="AG55:AG57" si="13">SUM(AC55:AF55)</f>
        <v>89.845122313700003</v>
      </c>
      <c r="AH55" s="88"/>
      <c r="AI55" s="82">
        <v>16.562902399999995</v>
      </c>
      <c r="AJ55" s="82">
        <v>27.454661260000002</v>
      </c>
      <c r="AK55" s="82">
        <v>18.764739900000002</v>
      </c>
      <c r="AL55" s="82">
        <v>1.7247131999999998</v>
      </c>
      <c r="AM55" s="83">
        <f t="shared" ref="AM55:AM58" si="14">SUM(AI55:AL55)</f>
        <v>64.507016759999999</v>
      </c>
      <c r="AN55" s="16"/>
      <c r="AO55" s="16"/>
      <c r="AP55" s="16"/>
      <c r="AQ55" s="16"/>
    </row>
    <row r="56" spans="1:44" ht="12.6" customHeight="1">
      <c r="A56" s="97" t="s">
        <v>43</v>
      </c>
      <c r="B56" s="90">
        <v>261.39999999999998</v>
      </c>
      <c r="C56" s="90">
        <v>309.60000000000002</v>
      </c>
      <c r="D56" s="88"/>
      <c r="E56" s="90">
        <v>213.4</v>
      </c>
      <c r="F56" s="90">
        <v>268.89999999999998</v>
      </c>
      <c r="G56" s="90">
        <v>301.10000000000002</v>
      </c>
      <c r="H56" s="90">
        <v>339</v>
      </c>
      <c r="I56" s="83">
        <f t="shared" ref="I56:I59" si="15">SUM(E56:H56)</f>
        <v>1122.4000000000001</v>
      </c>
      <c r="J56" s="88"/>
      <c r="K56" s="90">
        <v>207.3</v>
      </c>
      <c r="L56" s="90">
        <v>276.60000000000002</v>
      </c>
      <c r="M56" s="90">
        <v>282.7</v>
      </c>
      <c r="N56" s="90">
        <v>235.9</v>
      </c>
      <c r="O56" s="83">
        <v>1002.6</v>
      </c>
      <c r="P56" s="88"/>
      <c r="Q56" s="90">
        <v>575.79999999999995</v>
      </c>
      <c r="R56" s="90">
        <v>454.9</v>
      </c>
      <c r="S56" s="90">
        <v>397.2</v>
      </c>
      <c r="T56" s="90">
        <v>282.056514928029</v>
      </c>
      <c r="U56" s="83">
        <f t="shared" si="11"/>
        <v>1709.9565149280288</v>
      </c>
      <c r="V56" s="88"/>
      <c r="W56" s="90">
        <v>924.52245031994994</v>
      </c>
      <c r="X56" s="90">
        <v>804.23751244129005</v>
      </c>
      <c r="Y56" s="90">
        <v>716.75309167044998</v>
      </c>
      <c r="Z56" s="90">
        <v>688.73541638516997</v>
      </c>
      <c r="AA56" s="83">
        <f t="shared" si="12"/>
        <v>3134.2484708168599</v>
      </c>
      <c r="AB56" s="88"/>
      <c r="AC56" s="90">
        <v>453.51769953945006</v>
      </c>
      <c r="AD56" s="90">
        <v>706.48718915684003</v>
      </c>
      <c r="AE56" s="90">
        <v>852.34492869197993</v>
      </c>
      <c r="AF56" s="90">
        <v>1086.7502180497199</v>
      </c>
      <c r="AG56" s="83">
        <f t="shared" si="13"/>
        <v>3099.1000354379898</v>
      </c>
      <c r="AH56" s="88"/>
      <c r="AI56" s="82">
        <v>236.4648</v>
      </c>
      <c r="AJ56" s="82">
        <v>330.33240000000001</v>
      </c>
      <c r="AK56" s="82">
        <v>460.71900000000005</v>
      </c>
      <c r="AL56" s="82">
        <v>495.036</v>
      </c>
      <c r="AM56" s="83">
        <f t="shared" si="14"/>
        <v>1522.5522000000001</v>
      </c>
      <c r="AN56" s="16"/>
      <c r="AO56" s="16"/>
      <c r="AP56" s="16"/>
      <c r="AQ56" s="16"/>
    </row>
    <row r="57" spans="1:44" ht="12.6" customHeight="1">
      <c r="A57" s="81" t="s">
        <v>41</v>
      </c>
      <c r="B57" s="90">
        <v>18.7</v>
      </c>
      <c r="C57" s="90">
        <v>11.9</v>
      </c>
      <c r="D57" s="88"/>
      <c r="E57" s="90">
        <v>7.2</v>
      </c>
      <c r="F57" s="90">
        <v>12.2</v>
      </c>
      <c r="G57" s="90">
        <v>13.1</v>
      </c>
      <c r="H57" s="90">
        <v>13.8</v>
      </c>
      <c r="I57" s="83">
        <f t="shared" si="15"/>
        <v>46.3</v>
      </c>
      <c r="J57" s="88"/>
      <c r="K57" s="90">
        <v>3.60681951980794</v>
      </c>
      <c r="L57" s="90">
        <v>5.5300986310472213</v>
      </c>
      <c r="M57" s="90">
        <v>5.2109686206963381</v>
      </c>
      <c r="N57" s="90">
        <v>5.6</v>
      </c>
      <c r="O57" s="83">
        <v>20</v>
      </c>
      <c r="P57" s="88"/>
      <c r="Q57" s="90">
        <v>13.710270745799997</v>
      </c>
      <c r="R57" s="90">
        <v>12.521056898399998</v>
      </c>
      <c r="S57" s="90">
        <v>5.1129860903999997</v>
      </c>
      <c r="T57" s="90">
        <v>2.6648246969999998</v>
      </c>
      <c r="U57" s="83">
        <f t="shared" si="11"/>
        <v>34.009138431599993</v>
      </c>
      <c r="V57" s="88"/>
      <c r="W57" s="90">
        <v>16.979129011200001</v>
      </c>
      <c r="X57" s="90">
        <v>25.620436418399997</v>
      </c>
      <c r="Y57" s="90">
        <v>28.21033744399999</v>
      </c>
      <c r="Z57" s="90">
        <v>45.999314999399992</v>
      </c>
      <c r="AA57" s="83">
        <f t="shared" si="12"/>
        <v>116.80921787299997</v>
      </c>
      <c r="AB57" s="88"/>
      <c r="AC57" s="90">
        <v>19.809645508799999</v>
      </c>
      <c r="AD57" s="90">
        <v>8.2910124679999999</v>
      </c>
      <c r="AE57" s="90">
        <v>9.7949334886999999</v>
      </c>
      <c r="AF57" s="90">
        <v>14.108738513999999</v>
      </c>
      <c r="AG57" s="83">
        <f t="shared" si="13"/>
        <v>52.0043299795</v>
      </c>
      <c r="AH57" s="88"/>
      <c r="AI57" s="82">
        <v>13.472743680000001</v>
      </c>
      <c r="AJ57" s="82">
        <v>21.361384839999999</v>
      </c>
      <c r="AK57" s="82">
        <v>18.551185200000003</v>
      </c>
      <c r="AL57" s="82">
        <v>40.631828400000003</v>
      </c>
      <c r="AM57" s="83">
        <f t="shared" si="14"/>
        <v>94.017142120000003</v>
      </c>
      <c r="AN57" s="16"/>
      <c r="AO57" s="16"/>
      <c r="AP57" s="16"/>
      <c r="AQ57" s="16"/>
    </row>
    <row r="58" spans="1:44" ht="12.6" customHeight="1">
      <c r="A58" s="81" t="s">
        <v>42</v>
      </c>
      <c r="B58" s="90">
        <v>4.5999999999999996</v>
      </c>
      <c r="C58" s="90">
        <v>4.7</v>
      </c>
      <c r="D58" s="88"/>
      <c r="E58" s="90">
        <v>7.3</v>
      </c>
      <c r="F58" s="90">
        <v>5.2</v>
      </c>
      <c r="G58" s="90">
        <v>5.4</v>
      </c>
      <c r="H58" s="90">
        <v>3.4</v>
      </c>
      <c r="I58" s="83">
        <f t="shared" si="15"/>
        <v>21.299999999999997</v>
      </c>
      <c r="J58" s="88"/>
      <c r="K58" s="90">
        <v>1.4866714617958279</v>
      </c>
      <c r="L58" s="90">
        <v>2.0930754869396129</v>
      </c>
      <c r="M58" s="90">
        <v>4.0106174521085372</v>
      </c>
      <c r="N58" s="90">
        <v>3</v>
      </c>
      <c r="O58" s="83">
        <v>10.6</v>
      </c>
      <c r="P58" s="88"/>
      <c r="Q58" s="90">
        <v>7.0889906609999986</v>
      </c>
      <c r="R58" s="90">
        <v>7.100010438</v>
      </c>
      <c r="S58" s="90">
        <v>1.8398483248000002</v>
      </c>
      <c r="T58" s="90">
        <v>0.76295803500000003</v>
      </c>
      <c r="U58" s="83">
        <f t="shared" si="11"/>
        <v>16.791807458799997</v>
      </c>
      <c r="V58" s="88"/>
      <c r="W58" s="90">
        <v>41.230730990400005</v>
      </c>
      <c r="X58" s="90">
        <v>56.547321299199993</v>
      </c>
      <c r="Y58" s="90">
        <v>58.512591394499964</v>
      </c>
      <c r="Z58" s="90">
        <v>74.276082815000009</v>
      </c>
      <c r="AA58" s="83">
        <f t="shared" si="12"/>
        <v>230.56672649909996</v>
      </c>
      <c r="AB58" s="88"/>
      <c r="AC58" s="90">
        <v>25.836959836800002</v>
      </c>
      <c r="AD58" s="90">
        <v>14.530434348</v>
      </c>
      <c r="AE58" s="90">
        <v>28.822925800000004</v>
      </c>
      <c r="AF58" s="90">
        <v>91.806674399999991</v>
      </c>
      <c r="AG58" s="83">
        <f>SUM(AC58:AF58)</f>
        <v>160.99699438480002</v>
      </c>
      <c r="AH58" s="88"/>
      <c r="AI58" s="82">
        <v>29.480192297600002</v>
      </c>
      <c r="AJ58" s="82">
        <v>31.338042314999999</v>
      </c>
      <c r="AK58" s="82">
        <v>31.956489899999998</v>
      </c>
      <c r="AL58" s="82">
        <v>31.905042299999998</v>
      </c>
      <c r="AM58" s="83">
        <f t="shared" si="14"/>
        <v>124.67976681260001</v>
      </c>
    </row>
    <row r="59" spans="1:44" ht="12.6" customHeight="1">
      <c r="A59" s="99" t="s">
        <v>22</v>
      </c>
      <c r="B59" s="91">
        <v>388.3</v>
      </c>
      <c r="C59" s="91">
        <v>421.9</v>
      </c>
      <c r="D59" s="88"/>
      <c r="E59" s="91">
        <v>324.7</v>
      </c>
      <c r="F59" s="91">
        <v>383.4</v>
      </c>
      <c r="G59" s="91">
        <v>408.9</v>
      </c>
      <c r="H59" s="91">
        <f>SUM(H54:H58)</f>
        <v>431.4</v>
      </c>
      <c r="I59" s="83">
        <f t="shared" si="15"/>
        <v>1548.4</v>
      </c>
      <c r="J59" s="88"/>
      <c r="K59" s="91">
        <v>276.8</v>
      </c>
      <c r="L59" s="91">
        <v>349.7</v>
      </c>
      <c r="M59" s="91">
        <v>359.5</v>
      </c>
      <c r="N59" s="91">
        <v>297.3</v>
      </c>
      <c r="O59" s="83">
        <f>SUM(K59:N59)</f>
        <v>1283.3</v>
      </c>
      <c r="P59" s="100"/>
      <c r="Q59" s="91">
        <f>SUM(Q54:Q58)</f>
        <v>680.44112753249999</v>
      </c>
      <c r="R59" s="91">
        <f>SUM(R54:R58)</f>
        <v>568.84696824480011</v>
      </c>
      <c r="S59" s="91">
        <f>SUM(S54:S58)</f>
        <v>466.35283441519999</v>
      </c>
      <c r="T59" s="91">
        <f>SUM(T54:T58)</f>
        <v>330.10244260472899</v>
      </c>
      <c r="U59" s="83">
        <f t="shared" si="11"/>
        <v>2045.7433727972291</v>
      </c>
      <c r="V59" s="100"/>
      <c r="W59" s="91">
        <f>SUM(W54:W58)</f>
        <v>1101.67922401275</v>
      </c>
      <c r="X59" s="91">
        <f>SUM(X54:X58)</f>
        <v>998.47679279489</v>
      </c>
      <c r="Y59" s="91">
        <f t="shared" ref="Y59" si="16">SUM(Y54:Y58)</f>
        <v>923.2878902714499</v>
      </c>
      <c r="Z59" s="91">
        <f>SUM(Z54:Z58)</f>
        <v>951.00636076196997</v>
      </c>
      <c r="AA59" s="83">
        <f>SUM(W59:Z59)</f>
        <v>3974.4502678410595</v>
      </c>
      <c r="AB59" s="100"/>
      <c r="AC59" s="91">
        <f>SUM(AC54:AC58)</f>
        <v>566.40205794585006</v>
      </c>
      <c r="AD59" s="91">
        <f>SUM(AD54:AD58)</f>
        <v>778.86350958883997</v>
      </c>
      <c r="AE59" s="91">
        <f>SUM(AE54:AE58)</f>
        <v>974.17278535037997</v>
      </c>
      <c r="AF59" s="91">
        <f>SUM(AF54:AF58)</f>
        <v>1258.3620162442198</v>
      </c>
      <c r="AG59" s="83">
        <f>SUM(AC59:AF59)</f>
        <v>3577.8003691292897</v>
      </c>
      <c r="AH59" s="100"/>
      <c r="AI59" s="83">
        <f>SUM(AI54:AI58)</f>
        <v>345.28716948440001</v>
      </c>
      <c r="AJ59" s="83">
        <f>SUM(AJ54:AJ58)</f>
        <v>469.42442553818006</v>
      </c>
      <c r="AK59" s="83">
        <f>SUM(AK54:AK58)</f>
        <v>578.95421288130001</v>
      </c>
      <c r="AL59" s="83">
        <f>SUM(AL54:AL58)</f>
        <v>622.88396267400003</v>
      </c>
      <c r="AM59" s="83">
        <f>SUM(AM54:AM58)</f>
        <v>2016.5497705778801</v>
      </c>
      <c r="AN59" s="23"/>
    </row>
    <row r="60" spans="1:44" ht="12.6" customHeight="1">
      <c r="D60" s="48"/>
      <c r="I60" s="23"/>
      <c r="J60" s="48"/>
      <c r="K60" s="48"/>
      <c r="L60" s="48"/>
      <c r="M60" s="48"/>
      <c r="O60" s="23"/>
      <c r="R60" s="23"/>
      <c r="U60" s="23"/>
      <c r="W60" s="46"/>
      <c r="X60" s="23"/>
      <c r="AA60" s="23"/>
      <c r="AC60" s="46"/>
      <c r="AG60" s="23"/>
      <c r="AI60" s="46"/>
      <c r="AM60" s="23"/>
    </row>
    <row r="61" spans="1:44" ht="12.6" customHeight="1">
      <c r="A61" s="78" t="s">
        <v>763</v>
      </c>
      <c r="B61" s="27"/>
      <c r="C61" s="27"/>
      <c r="D61" s="27"/>
      <c r="E61" s="27"/>
      <c r="F61" s="27"/>
      <c r="G61" s="18"/>
      <c r="H61" s="18"/>
      <c r="I61" s="18"/>
      <c r="J61" s="27"/>
      <c r="K61" s="27"/>
      <c r="L61" s="27"/>
      <c r="M61" s="27"/>
      <c r="N61" s="18"/>
      <c r="O61" s="27"/>
      <c r="P61" s="27"/>
      <c r="Q61" s="27"/>
      <c r="S61" s="18"/>
      <c r="T61" s="18"/>
      <c r="U61" s="18"/>
      <c r="V61" s="18"/>
      <c r="W61" s="8"/>
      <c r="Y61" s="18"/>
      <c r="Z61" s="18"/>
      <c r="AA61" s="18"/>
      <c r="AB61" s="18"/>
      <c r="AC61" s="18"/>
      <c r="AE61" s="18"/>
      <c r="AF61" s="18"/>
      <c r="AG61" s="8"/>
      <c r="AH61" s="8"/>
      <c r="AI61" s="8"/>
    </row>
    <row r="62" spans="1:44" ht="12.6" customHeight="1">
      <c r="A62" s="86" t="s">
        <v>1349</v>
      </c>
      <c r="B62" s="28"/>
      <c r="C62" s="28"/>
      <c r="D62" s="28"/>
      <c r="E62" s="28"/>
      <c r="F62" s="28"/>
      <c r="G62" s="18"/>
      <c r="H62" s="18"/>
      <c r="I62" s="18"/>
      <c r="J62" s="28"/>
      <c r="K62" s="28"/>
      <c r="L62" s="28"/>
      <c r="M62" s="28"/>
      <c r="N62" s="18"/>
      <c r="O62" s="28"/>
      <c r="P62" s="28"/>
      <c r="Q62" s="28"/>
      <c r="S62" s="18"/>
      <c r="T62" s="18"/>
      <c r="U62" s="18"/>
      <c r="V62" s="18"/>
      <c r="W62" s="8"/>
      <c r="Y62" s="18"/>
      <c r="Z62" s="18"/>
      <c r="AA62" s="18"/>
      <c r="AB62" s="18"/>
      <c r="AC62" s="18"/>
      <c r="AE62" s="18"/>
      <c r="AF62" s="18"/>
      <c r="AG62" s="8"/>
      <c r="AH62" s="8"/>
      <c r="AI62" s="8"/>
    </row>
    <row r="63" spans="1:44" ht="12.6" customHeight="1">
      <c r="A63" s="79"/>
      <c r="B63" s="87" t="s">
        <v>2183</v>
      </c>
      <c r="C63" s="87" t="s">
        <v>2231</v>
      </c>
      <c r="D63" s="88"/>
      <c r="E63" s="87" t="s">
        <v>1913</v>
      </c>
      <c r="F63" s="87" t="s">
        <v>1968</v>
      </c>
      <c r="G63" s="87" t="s">
        <v>2019</v>
      </c>
      <c r="H63" s="87" t="s">
        <v>2068</v>
      </c>
      <c r="I63" s="87" t="s">
        <v>54</v>
      </c>
      <c r="J63" s="88"/>
      <c r="K63" s="87" t="s">
        <v>1588</v>
      </c>
      <c r="L63" s="87" t="s">
        <v>1661</v>
      </c>
      <c r="M63" s="87" t="s">
        <v>1727</v>
      </c>
      <c r="N63" s="87" t="s">
        <v>1784</v>
      </c>
      <c r="O63" s="87" t="s">
        <v>54</v>
      </c>
      <c r="P63" s="88"/>
      <c r="Q63" s="87" t="s">
        <v>1309</v>
      </c>
      <c r="R63" s="87" t="s">
        <v>1365</v>
      </c>
      <c r="S63" s="87" t="s">
        <v>1403</v>
      </c>
      <c r="T63" s="87" t="s">
        <v>1466</v>
      </c>
      <c r="U63" s="87" t="s">
        <v>54</v>
      </c>
      <c r="V63" s="88"/>
      <c r="W63" s="89" t="s">
        <v>1047</v>
      </c>
      <c r="X63" s="89" t="s">
        <v>1093</v>
      </c>
      <c r="Y63" s="89" t="s">
        <v>1141</v>
      </c>
      <c r="Z63" s="89" t="s">
        <v>1193</v>
      </c>
      <c r="AA63" s="87" t="s">
        <v>54</v>
      </c>
      <c r="AB63" s="88"/>
      <c r="AC63" s="89" t="s">
        <v>561</v>
      </c>
      <c r="AD63" s="89" t="s">
        <v>787</v>
      </c>
      <c r="AE63" s="89" t="s">
        <v>825</v>
      </c>
      <c r="AF63" s="89" t="s">
        <v>826</v>
      </c>
      <c r="AG63" s="87" t="s">
        <v>54</v>
      </c>
      <c r="AH63" s="88"/>
      <c r="AI63" s="87" t="s">
        <v>404</v>
      </c>
      <c r="AJ63" s="87" t="s">
        <v>405</v>
      </c>
      <c r="AK63" s="87" t="s">
        <v>406</v>
      </c>
      <c r="AL63" s="87" t="s">
        <v>407</v>
      </c>
      <c r="AM63" s="87" t="s">
        <v>54</v>
      </c>
    </row>
    <row r="64" spans="1:44" ht="12.6" customHeight="1">
      <c r="A64" s="101" t="s">
        <v>11</v>
      </c>
      <c r="B64" s="90">
        <v>0</v>
      </c>
      <c r="C64" s="90">
        <v>0</v>
      </c>
      <c r="D64" s="88"/>
      <c r="E64" s="90">
        <v>0.3</v>
      </c>
      <c r="F64" s="90">
        <v>0</v>
      </c>
      <c r="G64" s="90">
        <v>0</v>
      </c>
      <c r="H64" s="90">
        <v>0</v>
      </c>
      <c r="I64" s="83">
        <f>SUM(E64:H64)</f>
        <v>0.3</v>
      </c>
      <c r="J64" s="88"/>
      <c r="K64" s="90">
        <v>0</v>
      </c>
      <c r="L64" s="90">
        <v>0</v>
      </c>
      <c r="M64" s="90">
        <v>0</v>
      </c>
      <c r="N64" s="90">
        <v>0</v>
      </c>
      <c r="O64" s="83">
        <f t="shared" ref="O64:O79" si="17">SUM(K64:N64)</f>
        <v>0</v>
      </c>
      <c r="P64" s="88"/>
      <c r="Q64" s="90">
        <v>0</v>
      </c>
      <c r="R64" s="90">
        <v>0</v>
      </c>
      <c r="S64" s="90">
        <v>0</v>
      </c>
      <c r="T64" s="90">
        <v>0</v>
      </c>
      <c r="U64" s="83">
        <f>SUM(Q64:T64)</f>
        <v>0</v>
      </c>
      <c r="V64" s="88"/>
      <c r="W64" s="90">
        <v>0.28598999999999997</v>
      </c>
      <c r="X64" s="90">
        <v>0</v>
      </c>
      <c r="Y64" s="90">
        <v>0.53249999999999997</v>
      </c>
      <c r="Z64" s="90">
        <v>0</v>
      </c>
      <c r="AA64" s="83">
        <f>SUM(W64:Z64)</f>
        <v>0.81848999999999994</v>
      </c>
      <c r="AB64" s="88"/>
      <c r="AC64" s="90">
        <v>0</v>
      </c>
      <c r="AD64" s="90">
        <v>0</v>
      </c>
      <c r="AE64" s="90">
        <v>0</v>
      </c>
      <c r="AF64" s="90">
        <v>0</v>
      </c>
      <c r="AG64" s="83">
        <f>SUM(AC64:AF64)</f>
        <v>0</v>
      </c>
      <c r="AH64" s="88"/>
      <c r="AI64" s="90">
        <v>0</v>
      </c>
      <c r="AJ64" s="90">
        <v>0</v>
      </c>
      <c r="AK64" s="90">
        <v>0</v>
      </c>
      <c r="AL64" s="90">
        <v>0</v>
      </c>
      <c r="AM64" s="83">
        <v>0</v>
      </c>
    </row>
    <row r="65" spans="1:39" ht="12.6" customHeight="1">
      <c r="A65" s="101" t="s">
        <v>12</v>
      </c>
      <c r="B65" s="90">
        <v>1.1000000000000001</v>
      </c>
      <c r="C65" s="90">
        <v>1.8452999999999999</v>
      </c>
      <c r="D65" s="88"/>
      <c r="E65" s="90">
        <v>1.4</v>
      </c>
      <c r="F65" s="90">
        <v>1.8</v>
      </c>
      <c r="G65" s="90">
        <v>1.6</v>
      </c>
      <c r="H65" s="90">
        <v>1.3</v>
      </c>
      <c r="I65" s="83">
        <f t="shared" ref="I65:I79" si="18">SUM(E65:H65)</f>
        <v>6.1000000000000005</v>
      </c>
      <c r="J65" s="88"/>
      <c r="K65" s="90">
        <v>0.87260000000000004</v>
      </c>
      <c r="L65" s="90">
        <v>0.93179999999999985</v>
      </c>
      <c r="M65" s="90">
        <v>0.97290000000000032</v>
      </c>
      <c r="N65" s="90">
        <v>1.7</v>
      </c>
      <c r="O65" s="83">
        <f t="shared" si="17"/>
        <v>4.4773000000000005</v>
      </c>
      <c r="P65" s="88"/>
      <c r="Q65" s="90">
        <v>2.0699999999999998</v>
      </c>
      <c r="R65" s="90">
        <v>0.90229999999999999</v>
      </c>
      <c r="S65" s="90">
        <v>1.35</v>
      </c>
      <c r="T65" s="90">
        <v>0</v>
      </c>
      <c r="U65" s="83">
        <f t="shared" ref="U65:U79" si="19">SUM(Q65:T65)</f>
        <v>4.3223000000000003</v>
      </c>
      <c r="V65" s="88"/>
      <c r="W65" s="90">
        <v>0.45</v>
      </c>
      <c r="X65" s="90">
        <v>1.1031999999999997</v>
      </c>
      <c r="Y65" s="90">
        <v>2.9556</v>
      </c>
      <c r="Z65" s="90">
        <v>0.78600000000000003</v>
      </c>
      <c r="AA65" s="83">
        <f t="shared" ref="AA65:AA78" si="20">SUM(W65:Z65)</f>
        <v>5.2948000000000004</v>
      </c>
      <c r="AB65" s="88"/>
      <c r="AC65" s="90">
        <v>1.83639</v>
      </c>
      <c r="AD65" s="90">
        <v>0</v>
      </c>
      <c r="AE65" s="90">
        <v>1.9534</v>
      </c>
      <c r="AF65" s="90">
        <v>1.8414999999999999</v>
      </c>
      <c r="AG65" s="83">
        <f t="shared" ref="AG65:AG76" si="21">SUM(AC65:AF65)</f>
        <v>5.6312899999999999</v>
      </c>
      <c r="AH65" s="88"/>
      <c r="AI65" s="90">
        <v>0.23710000000000003</v>
      </c>
      <c r="AJ65" s="90">
        <v>0.156</v>
      </c>
      <c r="AK65" s="90">
        <v>1.25</v>
      </c>
      <c r="AL65" s="90">
        <v>2.0448</v>
      </c>
      <c r="AM65" s="83">
        <f t="shared" ref="AM65:AM76" si="22">SUM(AI65:AL65)</f>
        <v>3.6879</v>
      </c>
    </row>
    <row r="66" spans="1:39" ht="12.6" customHeight="1">
      <c r="A66" s="101" t="s">
        <v>13</v>
      </c>
      <c r="B66" s="90">
        <v>3</v>
      </c>
      <c r="C66" s="90">
        <v>7.032</v>
      </c>
      <c r="D66" s="88"/>
      <c r="E66" s="90">
        <v>3.6</v>
      </c>
      <c r="F66" s="90">
        <v>4.7</v>
      </c>
      <c r="G66" s="90">
        <v>3.9</v>
      </c>
      <c r="H66" s="90">
        <v>2</v>
      </c>
      <c r="I66" s="83">
        <f t="shared" si="18"/>
        <v>14.200000000000001</v>
      </c>
      <c r="J66" s="88"/>
      <c r="K66" s="90">
        <v>4.4735000030000007</v>
      </c>
      <c r="L66" s="90">
        <v>1.895</v>
      </c>
      <c r="M66" s="90">
        <v>3.1187</v>
      </c>
      <c r="N66" s="90">
        <v>2.8</v>
      </c>
      <c r="O66" s="83">
        <f t="shared" si="17"/>
        <v>12.287200003000002</v>
      </c>
      <c r="P66" s="88"/>
      <c r="Q66" s="90">
        <v>1.6544000000000001</v>
      </c>
      <c r="R66" s="90">
        <v>1.6785000000000001</v>
      </c>
      <c r="S66" s="90">
        <v>2.8279999999999998</v>
      </c>
      <c r="T66" s="90">
        <v>0.94510000000000005</v>
      </c>
      <c r="U66" s="83">
        <f t="shared" si="19"/>
        <v>7.1059999999999999</v>
      </c>
      <c r="V66" s="88"/>
      <c r="W66" s="90">
        <v>1.9945809999999999</v>
      </c>
      <c r="X66" s="90">
        <v>3.1175000000000002</v>
      </c>
      <c r="Y66" s="90">
        <v>1.5555000000000001</v>
      </c>
      <c r="Z66" s="90">
        <v>4.5647999999999991</v>
      </c>
      <c r="AA66" s="83">
        <f t="shared" si="20"/>
        <v>11.232381</v>
      </c>
      <c r="AB66" s="88"/>
      <c r="AC66" s="90">
        <v>0.96</v>
      </c>
      <c r="AD66" s="90">
        <v>1.35</v>
      </c>
      <c r="AE66" s="90">
        <v>0.35</v>
      </c>
      <c r="AF66" s="90">
        <v>4.97</v>
      </c>
      <c r="AG66" s="83">
        <f t="shared" si="21"/>
        <v>7.63</v>
      </c>
      <c r="AH66" s="88"/>
      <c r="AI66" s="90">
        <v>0.96</v>
      </c>
      <c r="AJ66" s="90">
        <v>1.357</v>
      </c>
      <c r="AK66" s="90">
        <v>3.7121999999999997</v>
      </c>
      <c r="AL66" s="90">
        <v>5.9526500000000002</v>
      </c>
      <c r="AM66" s="83">
        <f t="shared" si="22"/>
        <v>11.98185</v>
      </c>
    </row>
    <row r="67" spans="1:39" ht="12.6" customHeight="1">
      <c r="A67" s="101" t="s">
        <v>14</v>
      </c>
      <c r="B67" s="90">
        <v>0</v>
      </c>
      <c r="C67" s="90">
        <v>0</v>
      </c>
      <c r="D67" s="88"/>
      <c r="E67" s="90">
        <v>0</v>
      </c>
      <c r="F67" s="90">
        <v>0</v>
      </c>
      <c r="G67" s="90">
        <v>0</v>
      </c>
      <c r="H67" s="90">
        <v>0</v>
      </c>
      <c r="I67" s="83">
        <f t="shared" si="18"/>
        <v>0</v>
      </c>
      <c r="J67" s="88"/>
      <c r="K67" s="90">
        <v>0</v>
      </c>
      <c r="L67" s="90">
        <v>0</v>
      </c>
      <c r="M67" s="90">
        <v>0</v>
      </c>
      <c r="N67" s="90">
        <v>0</v>
      </c>
      <c r="O67" s="83">
        <f t="shared" si="17"/>
        <v>0</v>
      </c>
      <c r="P67" s="88"/>
      <c r="Q67" s="90">
        <v>0</v>
      </c>
      <c r="R67" s="90">
        <v>0</v>
      </c>
      <c r="S67" s="90">
        <v>0</v>
      </c>
      <c r="T67" s="90">
        <v>0</v>
      </c>
      <c r="U67" s="83">
        <f t="shared" si="19"/>
        <v>0</v>
      </c>
      <c r="V67" s="88"/>
      <c r="W67" s="90">
        <v>0</v>
      </c>
      <c r="X67" s="90">
        <v>0</v>
      </c>
      <c r="Y67" s="90">
        <v>0</v>
      </c>
      <c r="Z67" s="90">
        <v>0</v>
      </c>
      <c r="AA67" s="83">
        <f>SUM(W67:Z67)</f>
        <v>0</v>
      </c>
      <c r="AB67" s="88"/>
      <c r="AC67" s="90">
        <v>0</v>
      </c>
      <c r="AD67" s="90">
        <v>0</v>
      </c>
      <c r="AE67" s="90">
        <v>0.13</v>
      </c>
      <c r="AF67" s="90">
        <v>0</v>
      </c>
      <c r="AG67" s="83">
        <f t="shared" si="21"/>
        <v>0.13</v>
      </c>
      <c r="AH67" s="88"/>
      <c r="AI67" s="90">
        <v>0</v>
      </c>
      <c r="AJ67" s="90">
        <v>0</v>
      </c>
      <c r="AK67" s="90">
        <v>0</v>
      </c>
      <c r="AL67" s="90">
        <v>0</v>
      </c>
      <c r="AM67" s="83">
        <v>0</v>
      </c>
    </row>
    <row r="68" spans="1:39" ht="12.6" customHeight="1">
      <c r="A68" s="101" t="s">
        <v>15</v>
      </c>
      <c r="B68" s="90">
        <v>1.1000000000000001</v>
      </c>
      <c r="C68" s="90">
        <v>0.21393899999999999</v>
      </c>
      <c r="D68" s="88"/>
      <c r="E68" s="90">
        <v>2.2999999999999998</v>
      </c>
      <c r="F68" s="90">
        <v>0.7</v>
      </c>
      <c r="G68" s="90">
        <v>1.4</v>
      </c>
      <c r="H68" s="90">
        <v>0.7</v>
      </c>
      <c r="I68" s="83">
        <f t="shared" si="18"/>
        <v>5.1000000000000005</v>
      </c>
      <c r="J68" s="88"/>
      <c r="K68" s="90">
        <v>0.32999999999999996</v>
      </c>
      <c r="L68" s="90">
        <v>0.49938099999999996</v>
      </c>
      <c r="M68" s="90">
        <v>0.80456400000000017</v>
      </c>
      <c r="N68" s="90">
        <v>0.7</v>
      </c>
      <c r="O68" s="83">
        <f t="shared" si="17"/>
        <v>2.3339449999999999</v>
      </c>
      <c r="P68" s="88"/>
      <c r="Q68" s="90">
        <v>1.3730499999999999</v>
      </c>
      <c r="R68" s="90">
        <v>0.70552800000000004</v>
      </c>
      <c r="S68" s="90">
        <v>0.48813799999999996</v>
      </c>
      <c r="T68" s="90">
        <v>1.0238860000000001</v>
      </c>
      <c r="U68" s="83">
        <f t="shared" si="19"/>
        <v>3.5906019999999996</v>
      </c>
      <c r="V68" s="88"/>
      <c r="W68" s="90">
        <v>0.98243499999999995</v>
      </c>
      <c r="X68" s="90">
        <v>1.7486330000000001</v>
      </c>
      <c r="Y68" s="90">
        <v>0.96945000000000003</v>
      </c>
      <c r="Z68" s="90">
        <v>1.2282014450000001</v>
      </c>
      <c r="AA68" s="83">
        <f t="shared" si="20"/>
        <v>4.9287194450000005</v>
      </c>
      <c r="AB68" s="88"/>
      <c r="AC68" s="90">
        <v>0</v>
      </c>
      <c r="AD68" s="90">
        <v>0.79700000000000004</v>
      </c>
      <c r="AE68" s="90">
        <v>0.28839999999999999</v>
      </c>
      <c r="AF68" s="90">
        <v>0.36453999999999998</v>
      </c>
      <c r="AG68" s="83">
        <f t="shared" si="21"/>
        <v>1.4499399999999998</v>
      </c>
      <c r="AH68" s="88"/>
      <c r="AI68" s="90">
        <v>0.54200000000000004</v>
      </c>
      <c r="AJ68" s="90">
        <v>0.79604700000000006</v>
      </c>
      <c r="AK68" s="90">
        <v>0.88299699999999981</v>
      </c>
      <c r="AL68" s="90">
        <v>1.3049999999999999</v>
      </c>
      <c r="AM68" s="83">
        <f t="shared" si="22"/>
        <v>3.5260439999999997</v>
      </c>
    </row>
    <row r="69" spans="1:39" ht="12.6" customHeight="1">
      <c r="A69" s="101" t="s">
        <v>16</v>
      </c>
      <c r="B69" s="90">
        <v>1.6</v>
      </c>
      <c r="C69" s="90">
        <v>3.0230000000000001</v>
      </c>
      <c r="D69" s="88"/>
      <c r="E69" s="90">
        <v>0.6</v>
      </c>
      <c r="F69" s="90">
        <v>4</v>
      </c>
      <c r="G69" s="90">
        <v>2.2999999999999998</v>
      </c>
      <c r="H69" s="90">
        <v>1.2</v>
      </c>
      <c r="I69" s="83">
        <f t="shared" si="18"/>
        <v>8.1</v>
      </c>
      <c r="J69" s="88"/>
      <c r="K69" s="90">
        <v>0.47</v>
      </c>
      <c r="L69" s="90">
        <v>0.73</v>
      </c>
      <c r="M69" s="90">
        <v>2.1741999999999999</v>
      </c>
      <c r="N69" s="90">
        <v>3.2</v>
      </c>
      <c r="O69" s="83">
        <f t="shared" si="17"/>
        <v>6.5742000000000003</v>
      </c>
      <c r="P69" s="88"/>
      <c r="Q69" s="90">
        <v>0.4</v>
      </c>
      <c r="R69" s="90">
        <v>0.52800000000000002</v>
      </c>
      <c r="S69" s="90">
        <v>0.11799999999999999</v>
      </c>
      <c r="T69" s="90">
        <v>0</v>
      </c>
      <c r="U69" s="83">
        <f t="shared" si="19"/>
        <v>1.046</v>
      </c>
      <c r="V69" s="88"/>
      <c r="W69" s="90">
        <v>0</v>
      </c>
      <c r="X69" s="90">
        <v>0.51660000000000006</v>
      </c>
      <c r="Y69" s="90">
        <v>1.3832</v>
      </c>
      <c r="Z69" s="90">
        <v>2.5821000000000001</v>
      </c>
      <c r="AA69" s="83">
        <f t="shared" si="20"/>
        <v>4.4818999999999996</v>
      </c>
      <c r="AB69" s="88"/>
      <c r="AC69" s="90">
        <v>0.15009999999999998</v>
      </c>
      <c r="AD69" s="90">
        <v>0.57499999999999996</v>
      </c>
      <c r="AE69" s="90">
        <v>0</v>
      </c>
      <c r="AF69" s="90">
        <v>0.30839999999999995</v>
      </c>
      <c r="AG69" s="83">
        <f t="shared" si="21"/>
        <v>1.0334999999999999</v>
      </c>
      <c r="AH69" s="88"/>
      <c r="AI69" s="90">
        <v>0.31539999999999996</v>
      </c>
      <c r="AJ69" s="90">
        <v>2.7667299999999999</v>
      </c>
      <c r="AK69" s="90">
        <v>1.2734000000000001</v>
      </c>
      <c r="AL69" s="90">
        <v>2.8488539999999998</v>
      </c>
      <c r="AM69" s="83">
        <f t="shared" si="22"/>
        <v>7.2043839999999992</v>
      </c>
    </row>
    <row r="70" spans="1:39" ht="12.6" customHeight="1">
      <c r="A70" s="101" t="s">
        <v>17</v>
      </c>
      <c r="B70" s="90">
        <v>1.8</v>
      </c>
      <c r="C70" s="90">
        <v>1.8025</v>
      </c>
      <c r="D70" s="88"/>
      <c r="E70" s="90">
        <v>1.6</v>
      </c>
      <c r="F70" s="90">
        <v>2.4</v>
      </c>
      <c r="G70" s="90">
        <v>3.5</v>
      </c>
      <c r="H70" s="90">
        <v>0.4</v>
      </c>
      <c r="I70" s="83">
        <f t="shared" si="18"/>
        <v>7.9</v>
      </c>
      <c r="J70" s="88"/>
      <c r="K70" s="90">
        <v>1.2635500000000002</v>
      </c>
      <c r="L70" s="90">
        <v>1.7785000000000002</v>
      </c>
      <c r="M70" s="90">
        <v>1.3402499999999999</v>
      </c>
      <c r="N70" s="90">
        <v>0.3</v>
      </c>
      <c r="O70" s="83">
        <f t="shared" si="17"/>
        <v>4.6823000000000006</v>
      </c>
      <c r="P70" s="88"/>
      <c r="Q70" s="90">
        <v>0.58275999999999994</v>
      </c>
      <c r="R70" s="90">
        <v>2.0719921000000001</v>
      </c>
      <c r="S70" s="90">
        <v>0.24249999999999999</v>
      </c>
      <c r="T70" s="90">
        <v>0.42970999999999998</v>
      </c>
      <c r="U70" s="83">
        <f t="shared" si="19"/>
        <v>3.3269621000000003</v>
      </c>
      <c r="V70" s="88"/>
      <c r="W70" s="90">
        <v>2.317672</v>
      </c>
      <c r="X70" s="90">
        <v>2.1165320000000003</v>
      </c>
      <c r="Y70" s="90">
        <v>0.46074999999999994</v>
      </c>
      <c r="Z70" s="90">
        <v>1.0580000000000001</v>
      </c>
      <c r="AA70" s="83">
        <f t="shared" si="20"/>
        <v>5.9529540000000001</v>
      </c>
      <c r="AB70" s="88"/>
      <c r="AC70" s="90">
        <v>2.5023189999999995</v>
      </c>
      <c r="AD70" s="90">
        <v>0.85</v>
      </c>
      <c r="AE70" s="90">
        <v>0.95004999999999995</v>
      </c>
      <c r="AF70" s="90">
        <v>0.67408599999999996</v>
      </c>
      <c r="AG70" s="83">
        <f>SUM(AC70:AF70)</f>
        <v>4.9764549999999996</v>
      </c>
      <c r="AH70" s="88"/>
      <c r="AI70" s="90">
        <v>0</v>
      </c>
      <c r="AJ70" s="90">
        <v>4.0324140000000011</v>
      </c>
      <c r="AK70" s="90">
        <v>1.4809499999999998</v>
      </c>
      <c r="AL70" s="90">
        <v>1.1301999999999999</v>
      </c>
      <c r="AM70" s="83">
        <f t="shared" si="22"/>
        <v>6.6435640000000014</v>
      </c>
    </row>
    <row r="71" spans="1:39" ht="12.6" customHeight="1">
      <c r="A71" s="102" t="s">
        <v>563</v>
      </c>
      <c r="B71" s="90">
        <v>18.5</v>
      </c>
      <c r="C71" s="90">
        <v>12.3</v>
      </c>
      <c r="D71" s="88"/>
      <c r="E71" s="90">
        <v>11.6</v>
      </c>
      <c r="F71" s="90">
        <v>13.9</v>
      </c>
      <c r="G71" s="90">
        <v>10.6</v>
      </c>
      <c r="H71" s="90">
        <f>13.1</f>
        <v>13.1</v>
      </c>
      <c r="I71" s="83">
        <f t="shared" si="18"/>
        <v>49.2</v>
      </c>
      <c r="J71" s="88"/>
      <c r="K71" s="90">
        <v>6.5</v>
      </c>
      <c r="L71" s="90">
        <f>4.9</f>
        <v>4.9000000000000004</v>
      </c>
      <c r="M71" s="90">
        <v>6.5</v>
      </c>
      <c r="N71" s="90">
        <v>8.1</v>
      </c>
      <c r="O71" s="83">
        <f t="shared" si="17"/>
        <v>26</v>
      </c>
      <c r="P71" s="88"/>
      <c r="Q71" s="90">
        <v>10.199999999999999</v>
      </c>
      <c r="R71" s="90">
        <f>0.185506+R44-2.456</f>
        <v>3.7295060000000002</v>
      </c>
      <c r="S71" s="90">
        <f>S44</f>
        <v>6.4</v>
      </c>
      <c r="T71" s="90">
        <f>T44</f>
        <v>6.1</v>
      </c>
      <c r="U71" s="83">
        <f t="shared" si="19"/>
        <v>26.429506000000003</v>
      </c>
      <c r="V71" s="88"/>
      <c r="W71" s="90">
        <f>0.3734+W44</f>
        <v>6.9733999999999998</v>
      </c>
      <c r="X71" s="90">
        <f>0.295348+X44</f>
        <v>8.3953480000000003</v>
      </c>
      <c r="Y71" s="90">
        <f>0.496502+Y44</f>
        <v>9.2965020000000003</v>
      </c>
      <c r="Z71" s="90">
        <f>0.4283995372+Z44</f>
        <v>20.628399537200004</v>
      </c>
      <c r="AA71" s="83">
        <f t="shared" si="20"/>
        <v>45.293649537200004</v>
      </c>
      <c r="AB71" s="88"/>
      <c r="AC71" s="90">
        <v>5.8179999999999996</v>
      </c>
      <c r="AD71" s="82">
        <v>4.2889999999999997</v>
      </c>
      <c r="AE71" s="90">
        <v>4.9930000000000003</v>
      </c>
      <c r="AF71" s="90">
        <v>7.3186</v>
      </c>
      <c r="AG71" s="83">
        <f t="shared" si="21"/>
        <v>22.418599999999998</v>
      </c>
      <c r="AH71" s="88"/>
      <c r="AI71" s="90">
        <v>7.2532999999999967</v>
      </c>
      <c r="AJ71" s="90">
        <v>9.9809000000000001</v>
      </c>
      <c r="AK71" s="90">
        <v>11.860299999999997</v>
      </c>
      <c r="AL71" s="90">
        <v>10.714</v>
      </c>
      <c r="AM71" s="83">
        <f t="shared" si="22"/>
        <v>39.808499999999995</v>
      </c>
    </row>
    <row r="72" spans="1:39" ht="12.6" customHeight="1">
      <c r="A72" s="101" t="s">
        <v>18</v>
      </c>
      <c r="B72" s="90">
        <v>0</v>
      </c>
      <c r="C72" s="90">
        <v>0.45489999999999997</v>
      </c>
      <c r="D72" s="88"/>
      <c r="E72" s="90">
        <v>0</v>
      </c>
      <c r="F72" s="90">
        <v>0</v>
      </c>
      <c r="G72" s="90">
        <v>0.4</v>
      </c>
      <c r="H72" s="90">
        <v>0.3</v>
      </c>
      <c r="I72" s="83">
        <f t="shared" si="18"/>
        <v>0.7</v>
      </c>
      <c r="J72" s="88"/>
      <c r="K72" s="90">
        <v>0</v>
      </c>
      <c r="L72" s="90">
        <v>0</v>
      </c>
      <c r="M72" s="90">
        <v>0.20660000000000001</v>
      </c>
      <c r="N72" s="90">
        <v>0.9</v>
      </c>
      <c r="O72" s="83">
        <f t="shared" si="17"/>
        <v>1.1066</v>
      </c>
      <c r="P72" s="88"/>
      <c r="Q72" s="90">
        <v>0</v>
      </c>
      <c r="R72" s="90">
        <v>0.20150000000000001</v>
      </c>
      <c r="S72" s="90">
        <v>0.65649999999999997</v>
      </c>
      <c r="T72" s="90">
        <v>0</v>
      </c>
      <c r="U72" s="83">
        <f t="shared" si="19"/>
        <v>0.85799999999999998</v>
      </c>
      <c r="V72" s="88"/>
      <c r="W72" s="90">
        <v>0</v>
      </c>
      <c r="X72" s="90">
        <v>0</v>
      </c>
      <c r="Y72" s="90">
        <v>0.48281999999999997</v>
      </c>
      <c r="Z72" s="90">
        <v>0.36029999999999995</v>
      </c>
      <c r="AA72" s="83">
        <f t="shared" si="20"/>
        <v>0.84311999999999987</v>
      </c>
      <c r="AB72" s="88"/>
      <c r="AC72" s="90">
        <v>0</v>
      </c>
      <c r="AD72" s="90">
        <v>0</v>
      </c>
      <c r="AE72" s="90">
        <v>0.60660000000000003</v>
      </c>
      <c r="AF72" s="90">
        <v>0</v>
      </c>
      <c r="AG72" s="83">
        <f t="shared" si="21"/>
        <v>0.60660000000000003</v>
      </c>
      <c r="AH72" s="88"/>
      <c r="AI72" s="90">
        <v>0</v>
      </c>
      <c r="AJ72" s="90">
        <v>0</v>
      </c>
      <c r="AK72" s="90">
        <v>0.47499999999999998</v>
      </c>
      <c r="AL72" s="90">
        <v>0</v>
      </c>
      <c r="AM72" s="83">
        <f t="shared" si="22"/>
        <v>0.47499999999999998</v>
      </c>
    </row>
    <row r="73" spans="1:39" ht="12.6" customHeight="1">
      <c r="A73" s="101" t="s">
        <v>19</v>
      </c>
      <c r="B73" s="90">
        <v>0</v>
      </c>
      <c r="C73" s="90">
        <v>3.7762579999999999</v>
      </c>
      <c r="D73" s="88"/>
      <c r="E73" s="90">
        <v>0</v>
      </c>
      <c r="F73" s="90">
        <v>2</v>
      </c>
      <c r="G73" s="90">
        <v>2.6</v>
      </c>
      <c r="H73" s="90">
        <v>2</v>
      </c>
      <c r="I73" s="83">
        <f t="shared" si="18"/>
        <v>6.6</v>
      </c>
      <c r="J73" s="88"/>
      <c r="K73" s="90">
        <v>0.31869999999999998</v>
      </c>
      <c r="L73" s="90">
        <v>0.80400000000000005</v>
      </c>
      <c r="M73" s="90">
        <v>3.1025</v>
      </c>
      <c r="N73" s="90">
        <v>0</v>
      </c>
      <c r="O73" s="83">
        <f t="shared" si="17"/>
        <v>4.2252000000000001</v>
      </c>
      <c r="P73" s="88"/>
      <c r="Q73" s="90">
        <v>0.42669999999999997</v>
      </c>
      <c r="R73" s="90">
        <v>1.1157999999999999</v>
      </c>
      <c r="S73" s="90">
        <v>1.1772009999999999</v>
      </c>
      <c r="T73" s="90">
        <v>1.1132</v>
      </c>
      <c r="U73" s="83">
        <f t="shared" si="19"/>
        <v>3.8329009999999997</v>
      </c>
      <c r="V73" s="88"/>
      <c r="W73" s="90">
        <v>2.0489920000000001</v>
      </c>
      <c r="X73" s="90">
        <v>1.244</v>
      </c>
      <c r="Y73" s="90">
        <v>0.58290000000000008</v>
      </c>
      <c r="Z73" s="90">
        <v>0.64460000000000006</v>
      </c>
      <c r="AA73" s="83">
        <f t="shared" si="20"/>
        <v>4.520492</v>
      </c>
      <c r="AB73" s="88"/>
      <c r="AC73" s="90">
        <v>1.3207</v>
      </c>
      <c r="AD73" s="90">
        <v>1.1060000000000001</v>
      </c>
      <c r="AE73" s="90">
        <v>0.52</v>
      </c>
      <c r="AF73" s="90">
        <v>1.554208</v>
      </c>
      <c r="AG73" s="83">
        <f t="shared" si="21"/>
        <v>4.5009080000000008</v>
      </c>
      <c r="AH73" s="88"/>
      <c r="AI73" s="90">
        <v>0</v>
      </c>
      <c r="AJ73" s="90">
        <v>0</v>
      </c>
      <c r="AK73" s="90">
        <v>1.359</v>
      </c>
      <c r="AL73" s="90">
        <v>2.3029360000000003</v>
      </c>
      <c r="AM73" s="83">
        <f t="shared" si="22"/>
        <v>3.6619360000000003</v>
      </c>
    </row>
    <row r="74" spans="1:39" ht="12.6" customHeight="1">
      <c r="A74" s="101" t="s">
        <v>564</v>
      </c>
      <c r="B74" s="90">
        <v>0</v>
      </c>
      <c r="C74" s="90">
        <v>0</v>
      </c>
      <c r="D74" s="88"/>
      <c r="E74" s="90">
        <v>0</v>
      </c>
      <c r="F74" s="90">
        <v>0</v>
      </c>
      <c r="G74" s="90">
        <v>0</v>
      </c>
      <c r="H74" s="90">
        <v>0</v>
      </c>
      <c r="I74" s="83">
        <f t="shared" si="18"/>
        <v>0</v>
      </c>
      <c r="J74" s="88"/>
      <c r="K74" s="90">
        <v>0.2547894</v>
      </c>
      <c r="L74" s="90">
        <v>0.42623099999999997</v>
      </c>
      <c r="M74" s="90">
        <v>0.14123699999999997</v>
      </c>
      <c r="N74" s="90">
        <v>0</v>
      </c>
      <c r="O74" s="83">
        <f t="shared" si="17"/>
        <v>0.82225739999999992</v>
      </c>
      <c r="P74" s="88"/>
      <c r="Q74" s="90">
        <v>0</v>
      </c>
      <c r="R74" s="90">
        <v>0.19391999999999998</v>
      </c>
      <c r="S74" s="90">
        <v>0</v>
      </c>
      <c r="T74" s="90">
        <v>0.29199108000000001</v>
      </c>
      <c r="U74" s="83">
        <f t="shared" si="19"/>
        <v>0.48591108</v>
      </c>
      <c r="V74" s="88"/>
      <c r="W74" s="90">
        <v>0</v>
      </c>
      <c r="X74" s="90">
        <v>0.18254000000000001</v>
      </c>
      <c r="Y74" s="90">
        <v>0</v>
      </c>
      <c r="Z74" s="90">
        <v>0</v>
      </c>
      <c r="AA74" s="83">
        <f t="shared" si="20"/>
        <v>0.18254000000000001</v>
      </c>
      <c r="AB74" s="88"/>
      <c r="AC74" s="90">
        <v>0.40412056000000002</v>
      </c>
      <c r="AD74" s="90">
        <v>0.187</v>
      </c>
      <c r="AE74" s="90">
        <v>0.23227500000000001</v>
      </c>
      <c r="AF74" s="90">
        <v>0.25965390000000005</v>
      </c>
      <c r="AG74" s="83">
        <f t="shared" si="21"/>
        <v>1.08304946</v>
      </c>
      <c r="AH74" s="88"/>
      <c r="AI74" s="90">
        <v>0.22005000000000002</v>
      </c>
      <c r="AJ74" s="90">
        <v>0.17721999999999999</v>
      </c>
      <c r="AK74" s="90">
        <v>0</v>
      </c>
      <c r="AL74" s="90">
        <v>0.22742500000000002</v>
      </c>
      <c r="AM74" s="83">
        <f t="shared" si="22"/>
        <v>0.624695</v>
      </c>
    </row>
    <row r="75" spans="1:39" ht="12.6" customHeight="1">
      <c r="A75" s="101" t="s">
        <v>20</v>
      </c>
      <c r="B75" s="90">
        <v>10.4</v>
      </c>
      <c r="C75" s="90">
        <v>8.6078066752000009</v>
      </c>
      <c r="D75" s="88"/>
      <c r="E75" s="90">
        <v>10.1</v>
      </c>
      <c r="F75" s="90">
        <v>15.3</v>
      </c>
      <c r="G75" s="90">
        <v>7.5</v>
      </c>
      <c r="H75" s="90">
        <v>10.1</v>
      </c>
      <c r="I75" s="83">
        <f t="shared" si="18"/>
        <v>43</v>
      </c>
      <c r="J75" s="88"/>
      <c r="K75" s="90">
        <v>5.3848622453191242</v>
      </c>
      <c r="L75" s="90">
        <v>8</v>
      </c>
      <c r="M75" s="90">
        <v>7.5</v>
      </c>
      <c r="N75" s="90">
        <v>8.1999999999999993</v>
      </c>
      <c r="O75" s="83">
        <f t="shared" si="17"/>
        <v>29.084862245319123</v>
      </c>
      <c r="P75" s="88"/>
      <c r="Q75" s="90">
        <v>15.287700000000001</v>
      </c>
      <c r="R75" s="90">
        <v>4.3905702806999996</v>
      </c>
      <c r="S75" s="90">
        <v>5.3123405175569998</v>
      </c>
      <c r="T75" s="90">
        <v>1.8159749993000001</v>
      </c>
      <c r="U75" s="83">
        <f t="shared" si="19"/>
        <v>26.806585797557002</v>
      </c>
      <c r="V75" s="88"/>
      <c r="W75" s="90">
        <v>14.161875177800002</v>
      </c>
      <c r="X75" s="90">
        <v>4.4732353394000004</v>
      </c>
      <c r="Y75" s="90">
        <v>7.980073470799999</v>
      </c>
      <c r="Z75" s="90">
        <v>8.0160156899999979</v>
      </c>
      <c r="AA75" s="83">
        <f t="shared" si="20"/>
        <v>34.631199678000002</v>
      </c>
      <c r="AB75" s="88"/>
      <c r="AC75" s="90">
        <v>9.0686851967000006</v>
      </c>
      <c r="AD75" s="90">
        <v>1.34</v>
      </c>
      <c r="AE75" s="90">
        <v>8.086304424199998</v>
      </c>
      <c r="AF75" s="90">
        <v>1.0758790825000002</v>
      </c>
      <c r="AG75" s="83">
        <f t="shared" si="21"/>
        <v>19.570868703400002</v>
      </c>
      <c r="AH75" s="88"/>
      <c r="AI75" s="90">
        <v>7.2379300000000004</v>
      </c>
      <c r="AJ75" s="90">
        <v>8.4818753675000007</v>
      </c>
      <c r="AK75" s="90">
        <v>9.7942369153999991</v>
      </c>
      <c r="AL75" s="90">
        <v>8.6605481367999992</v>
      </c>
      <c r="AM75" s="83">
        <f t="shared" si="22"/>
        <v>34.174590419699996</v>
      </c>
    </row>
    <row r="76" spans="1:39" ht="12.6" customHeight="1">
      <c r="A76" s="101" t="s">
        <v>60</v>
      </c>
      <c r="B76" s="90">
        <v>0.5</v>
      </c>
      <c r="C76" s="90">
        <v>0</v>
      </c>
      <c r="D76" s="88"/>
      <c r="E76" s="90">
        <v>0.5</v>
      </c>
      <c r="F76" s="90">
        <f>0.5+0.4</f>
        <v>0.9</v>
      </c>
      <c r="G76" s="90">
        <v>0.5</v>
      </c>
      <c r="H76" s="90">
        <v>0</v>
      </c>
      <c r="I76" s="83">
        <f t="shared" si="18"/>
        <v>1.9</v>
      </c>
      <c r="J76" s="88"/>
      <c r="K76" s="90">
        <v>0</v>
      </c>
      <c r="L76" s="90">
        <v>0.96610000000000007</v>
      </c>
      <c r="M76" s="90">
        <v>0</v>
      </c>
      <c r="N76" s="90">
        <v>0</v>
      </c>
      <c r="O76" s="83">
        <f t="shared" si="17"/>
        <v>0.96610000000000007</v>
      </c>
      <c r="P76" s="88"/>
      <c r="Q76" s="90">
        <v>0.59179999999999999</v>
      </c>
      <c r="R76" s="90">
        <v>0.44900000000000001</v>
      </c>
      <c r="S76" s="90">
        <v>0.43930000000000002</v>
      </c>
      <c r="T76" s="90">
        <v>0</v>
      </c>
      <c r="U76" s="83">
        <f t="shared" si="19"/>
        <v>1.4801</v>
      </c>
      <c r="V76" s="88"/>
      <c r="W76" s="90">
        <v>0</v>
      </c>
      <c r="X76" s="90">
        <v>1.0486999999999997</v>
      </c>
      <c r="Y76" s="90">
        <v>0</v>
      </c>
      <c r="Z76" s="90">
        <v>0.45</v>
      </c>
      <c r="AA76" s="83">
        <f t="shared" si="20"/>
        <v>1.4986999999999997</v>
      </c>
      <c r="AB76" s="88"/>
      <c r="AC76" s="90">
        <v>0</v>
      </c>
      <c r="AD76" s="90">
        <v>0</v>
      </c>
      <c r="AE76" s="90">
        <v>0</v>
      </c>
      <c r="AF76" s="90">
        <v>0.65</v>
      </c>
      <c r="AG76" s="83">
        <f t="shared" si="21"/>
        <v>0.65</v>
      </c>
      <c r="AH76" s="88"/>
      <c r="AI76" s="90">
        <v>0</v>
      </c>
      <c r="AJ76" s="90">
        <v>0</v>
      </c>
      <c r="AK76" s="90">
        <v>0</v>
      </c>
      <c r="AL76" s="90">
        <v>1.2074374999999999</v>
      </c>
      <c r="AM76" s="83">
        <f t="shared" si="22"/>
        <v>1.2074374999999999</v>
      </c>
    </row>
    <row r="77" spans="1:39" ht="12.6" customHeight="1">
      <c r="A77" s="103" t="s">
        <v>1313</v>
      </c>
      <c r="B77" s="91">
        <v>27.6</v>
      </c>
      <c r="C77" s="91">
        <f>SUM(C64:C73)</f>
        <v>30.447896999999998</v>
      </c>
      <c r="D77" s="88"/>
      <c r="E77" s="91">
        <v>21.9</v>
      </c>
      <c r="F77" s="91">
        <f>SUM(F64:F73)+F76</f>
        <v>30.4</v>
      </c>
      <c r="G77" s="91">
        <v>26.7</v>
      </c>
      <c r="H77" s="91">
        <v>21</v>
      </c>
      <c r="I77" s="83">
        <f>SUM(E77:H77)</f>
        <v>100</v>
      </c>
      <c r="J77" s="88"/>
      <c r="K77" s="91">
        <f>K78-K75-K74</f>
        <v>14.228350003000003</v>
      </c>
      <c r="L77" s="91">
        <f>L78-L75-L74</f>
        <v>12.504781000000003</v>
      </c>
      <c r="M77" s="91">
        <f>M78-M75-M74</f>
        <v>18.219714</v>
      </c>
      <c r="N77" s="91">
        <f>N78-N75-N74</f>
        <v>17.7</v>
      </c>
      <c r="O77" s="83">
        <f t="shared" si="17"/>
        <v>62.65284500300001</v>
      </c>
      <c r="P77" s="88"/>
      <c r="Q77" s="91">
        <f>Q78-Q75-Q74</f>
        <v>17.29871</v>
      </c>
      <c r="R77" s="91">
        <f>R78-R75-R74</f>
        <v>11.382126100000002</v>
      </c>
      <c r="S77" s="91">
        <f>S78-S75-S74</f>
        <v>13.699638999999998</v>
      </c>
      <c r="T77" s="91">
        <f>T78-T75-T74</f>
        <v>9.611895999999998</v>
      </c>
      <c r="U77" s="83">
        <f>SUM(Q77:T77)</f>
        <v>51.9923711</v>
      </c>
      <c r="V77" s="88"/>
      <c r="W77" s="91">
        <v>15.053070000000002</v>
      </c>
      <c r="X77" s="91">
        <v>19.290513000000001</v>
      </c>
      <c r="Y77" s="91">
        <v>18.219221999999995</v>
      </c>
      <c r="Z77" s="91">
        <v>32.302400982200005</v>
      </c>
      <c r="AA77" s="91">
        <v>84.865205982199996</v>
      </c>
      <c r="AB77" s="88"/>
      <c r="AC77" s="91">
        <v>12.587509000000001</v>
      </c>
      <c r="AD77" s="91">
        <v>8.9670000000000005</v>
      </c>
      <c r="AE77" s="91">
        <v>9.7914500000000029</v>
      </c>
      <c r="AF77" s="91">
        <v>17.681333999999996</v>
      </c>
      <c r="AG77" s="91">
        <v>49.027293000000007</v>
      </c>
      <c r="AH77" s="88"/>
      <c r="AI77" s="91">
        <v>9.3077999999999985</v>
      </c>
      <c r="AJ77" s="91">
        <v>19.089091000000003</v>
      </c>
      <c r="AK77" s="91">
        <v>22.293847</v>
      </c>
      <c r="AL77" s="91">
        <v>27.505877499999997</v>
      </c>
      <c r="AM77" s="91">
        <v>78.196615499999993</v>
      </c>
    </row>
    <row r="78" spans="1:39" ht="12.6" customHeight="1">
      <c r="A78" s="103" t="s">
        <v>44</v>
      </c>
      <c r="B78" s="91">
        <v>38</v>
      </c>
      <c r="C78" s="91">
        <f>SUM(C64:C76)</f>
        <v>39.0557036752</v>
      </c>
      <c r="D78" s="88"/>
      <c r="E78" s="91">
        <v>32</v>
      </c>
      <c r="F78" s="91">
        <f>SUM(F64:F76)</f>
        <v>45.699999999999996</v>
      </c>
      <c r="G78" s="91">
        <v>34.200000000000003</v>
      </c>
      <c r="H78" s="91">
        <v>31.1</v>
      </c>
      <c r="I78" s="83">
        <f t="shared" si="18"/>
        <v>143</v>
      </c>
      <c r="J78" s="88"/>
      <c r="K78" s="91">
        <f>SUM(K64:K76)</f>
        <v>19.868001648319126</v>
      </c>
      <c r="L78" s="91">
        <f>SUM(L64:L76)</f>
        <v>20.931012000000003</v>
      </c>
      <c r="M78" s="91">
        <f>SUM(M64:M76)</f>
        <v>25.860951</v>
      </c>
      <c r="N78" s="91">
        <f>SUM(N64:N76)</f>
        <v>25.9</v>
      </c>
      <c r="O78" s="83">
        <f t="shared" si="17"/>
        <v>92.559964648319124</v>
      </c>
      <c r="P78" s="88"/>
      <c r="Q78" s="91">
        <f>SUM(Q64:Q76)</f>
        <v>32.586410000000001</v>
      </c>
      <c r="R78" s="91">
        <f>SUM(R64:R76)</f>
        <v>15.966616380700001</v>
      </c>
      <c r="S78" s="91">
        <f>SUM(S64:S76)</f>
        <v>19.011979517556998</v>
      </c>
      <c r="T78" s="91">
        <f>SUM(T64:T76)</f>
        <v>11.719862079299999</v>
      </c>
      <c r="U78" s="83">
        <f t="shared" si="19"/>
        <v>79.284867977556999</v>
      </c>
      <c r="V78" s="88"/>
      <c r="W78" s="91">
        <f>SUM(W64:W76)</f>
        <v>29.214945177800004</v>
      </c>
      <c r="X78" s="91">
        <f>SUM(X64:X76)</f>
        <v>23.946288339400002</v>
      </c>
      <c r="Y78" s="91">
        <f>SUM(Y64:Y76)</f>
        <v>26.199295470799996</v>
      </c>
      <c r="Z78" s="91">
        <f>SUM(Z64:Z76)</f>
        <v>40.318416672200001</v>
      </c>
      <c r="AA78" s="83">
        <f t="shared" si="20"/>
        <v>119.6789456602</v>
      </c>
      <c r="AB78" s="88"/>
      <c r="AC78" s="91">
        <f>SUM(AC64:AC76)</f>
        <v>22.060314756700002</v>
      </c>
      <c r="AD78" s="91">
        <f>SUM(AD64:AD76)</f>
        <v>10.494</v>
      </c>
      <c r="AE78" s="91">
        <f>SUM(AE64:AE76)</f>
        <v>18.1100294242</v>
      </c>
      <c r="AF78" s="91">
        <f>SUM(AF64:AF76)</f>
        <v>19.016866982499998</v>
      </c>
      <c r="AG78" s="83">
        <f>SUM(AC78:AF78)</f>
        <v>69.681211163400008</v>
      </c>
      <c r="AH78" s="88"/>
      <c r="AI78" s="91">
        <v>16.765779999999999</v>
      </c>
      <c r="AJ78" s="91">
        <v>27.748186367500004</v>
      </c>
      <c r="AK78" s="91">
        <v>32.088083915399999</v>
      </c>
      <c r="AL78" s="91">
        <v>36.393850636799996</v>
      </c>
      <c r="AM78" s="83">
        <f>SUM(AI78:AL78)</f>
        <v>112.99590091969999</v>
      </c>
    </row>
    <row r="79" spans="1:39" ht="12.6" customHeight="1">
      <c r="A79" s="103" t="s">
        <v>91</v>
      </c>
      <c r="B79" s="91">
        <v>388.3</v>
      </c>
      <c r="C79" s="91">
        <v>421.9</v>
      </c>
      <c r="D79" s="88"/>
      <c r="E79" s="91">
        <v>323.39999999999998</v>
      </c>
      <c r="F79" s="91">
        <f>F59</f>
        <v>383.4</v>
      </c>
      <c r="G79" s="91">
        <v>408.9</v>
      </c>
      <c r="H79" s="91">
        <v>431.4</v>
      </c>
      <c r="I79" s="83">
        <f t="shared" si="18"/>
        <v>1547.1</v>
      </c>
      <c r="J79" s="88"/>
      <c r="K79" s="91">
        <f>K59</f>
        <v>276.8</v>
      </c>
      <c r="L79" s="91">
        <f>L59</f>
        <v>349.7</v>
      </c>
      <c r="M79" s="91">
        <f>M59</f>
        <v>359.5</v>
      </c>
      <c r="N79" s="91">
        <f>N59</f>
        <v>297.3</v>
      </c>
      <c r="O79" s="83">
        <f t="shared" si="17"/>
        <v>1283.3</v>
      </c>
      <c r="P79" s="88"/>
      <c r="Q79" s="91">
        <f>Q59</f>
        <v>680.44112753249999</v>
      </c>
      <c r="R79" s="91">
        <f>R59</f>
        <v>568.84696824480011</v>
      </c>
      <c r="S79" s="91">
        <f>S59</f>
        <v>466.35283441519999</v>
      </c>
      <c r="T79" s="91">
        <f>T59</f>
        <v>330.10244260472899</v>
      </c>
      <c r="U79" s="83">
        <f t="shared" si="19"/>
        <v>2045.7433727972291</v>
      </c>
      <c r="V79" s="88"/>
      <c r="W79" s="91">
        <v>1024.3029301990368</v>
      </c>
      <c r="X79" s="91">
        <v>990.13776419615044</v>
      </c>
      <c r="Y79" s="91">
        <v>922.0230318743844</v>
      </c>
      <c r="Z79" s="91">
        <v>954.64795031986864</v>
      </c>
      <c r="AA79" s="83">
        <v>3891.1116765894403</v>
      </c>
      <c r="AB79" s="88"/>
      <c r="AC79" s="91">
        <v>560.34350908068961</v>
      </c>
      <c r="AD79" s="91">
        <v>778.19086001590392</v>
      </c>
      <c r="AE79" s="91">
        <v>944.94456493280404</v>
      </c>
      <c r="AF79" s="91">
        <v>1066.6206481231859</v>
      </c>
      <c r="AG79" s="83">
        <v>3350.099582152583</v>
      </c>
      <c r="AH79" s="88"/>
      <c r="AI79" s="91">
        <v>298.25199285768042</v>
      </c>
      <c r="AJ79" s="91">
        <v>436.28017169803564</v>
      </c>
      <c r="AK79" s="91">
        <v>578.51690359724478</v>
      </c>
      <c r="AL79" s="91">
        <v>639.8456578718193</v>
      </c>
      <c r="AM79" s="83">
        <v>1952.8947260247801</v>
      </c>
    </row>
    <row r="80" spans="1:39" ht="12.6" customHeight="1">
      <c r="I80" s="23"/>
    </row>
    <row r="81" spans="1:95" ht="12.6" customHeight="1">
      <c r="A81" s="7"/>
      <c r="B81" s="7"/>
      <c r="C81" s="7"/>
      <c r="D81" s="7"/>
      <c r="E81" s="7"/>
      <c r="F81" s="7"/>
      <c r="G81" s="7"/>
      <c r="H81" s="7"/>
      <c r="I81" s="23"/>
      <c r="O81" s="23"/>
      <c r="U81" s="23"/>
      <c r="AA81" s="23"/>
      <c r="AG81" s="23"/>
    </row>
    <row r="82" spans="1:95" ht="12.6" customHeight="1">
      <c r="A82" s="78" t="s">
        <v>762</v>
      </c>
      <c r="B82" s="27"/>
      <c r="C82" s="27"/>
      <c r="D82" s="27"/>
      <c r="E82" s="27"/>
      <c r="F82" s="27"/>
      <c r="G82" s="27"/>
      <c r="H82" s="27"/>
      <c r="I82" s="27"/>
    </row>
    <row r="83" spans="1:95" ht="12.6" customHeight="1">
      <c r="A83" s="27"/>
      <c r="B83" s="27"/>
      <c r="C83" s="27"/>
      <c r="D83" s="27"/>
      <c r="E83" s="27"/>
      <c r="F83" s="27"/>
      <c r="G83" s="27"/>
      <c r="H83" s="27"/>
      <c r="Q83" s="27"/>
    </row>
    <row r="84" spans="1:95" ht="12.6" customHeight="1">
      <c r="A84" s="85" t="s">
        <v>2231</v>
      </c>
      <c r="B84" s="75" t="s">
        <v>24</v>
      </c>
      <c r="C84" s="75" t="s">
        <v>566</v>
      </c>
      <c r="D84" s="75" t="s">
        <v>567</v>
      </c>
      <c r="E84" s="75" t="s">
        <v>8</v>
      </c>
      <c r="F84" s="75" t="s">
        <v>568</v>
      </c>
      <c r="G84" s="75" t="s">
        <v>569</v>
      </c>
      <c r="H84" s="75" t="s">
        <v>25</v>
      </c>
      <c r="I84" s="75" t="s">
        <v>92</v>
      </c>
      <c r="J84" s="75" t="s">
        <v>570</v>
      </c>
      <c r="K84" s="75" t="s">
        <v>22</v>
      </c>
      <c r="M84" s="85" t="s">
        <v>2183</v>
      </c>
      <c r="N84" s="75" t="s">
        <v>24</v>
      </c>
      <c r="O84" s="75" t="s">
        <v>566</v>
      </c>
      <c r="P84" s="75" t="s">
        <v>567</v>
      </c>
      <c r="Q84" s="75" t="s">
        <v>8</v>
      </c>
      <c r="R84" s="75" t="s">
        <v>568</v>
      </c>
      <c r="S84" s="75" t="s">
        <v>569</v>
      </c>
      <c r="T84" s="75" t="s">
        <v>25</v>
      </c>
      <c r="U84" s="75" t="s">
        <v>92</v>
      </c>
      <c r="V84" s="75" t="s">
        <v>570</v>
      </c>
      <c r="W84" s="75" t="s">
        <v>22</v>
      </c>
      <c r="Y84" s="85" t="s">
        <v>2068</v>
      </c>
      <c r="Z84" s="75" t="s">
        <v>24</v>
      </c>
      <c r="AA84" s="75" t="s">
        <v>566</v>
      </c>
      <c r="AB84" s="75" t="s">
        <v>567</v>
      </c>
      <c r="AC84" s="75" t="s">
        <v>8</v>
      </c>
      <c r="AD84" s="75" t="s">
        <v>568</v>
      </c>
      <c r="AE84" s="75" t="s">
        <v>569</v>
      </c>
      <c r="AF84" s="75" t="s">
        <v>25</v>
      </c>
      <c r="AG84" s="75" t="s">
        <v>92</v>
      </c>
      <c r="AH84" s="75" t="s">
        <v>570</v>
      </c>
      <c r="AI84" s="75" t="s">
        <v>22</v>
      </c>
      <c r="AK84" s="85" t="s">
        <v>2019</v>
      </c>
      <c r="AL84" s="75" t="s">
        <v>24</v>
      </c>
      <c r="AM84" s="75" t="s">
        <v>566</v>
      </c>
      <c r="AN84" s="75" t="s">
        <v>567</v>
      </c>
      <c r="AO84" s="75" t="s">
        <v>8</v>
      </c>
      <c r="AP84" s="75" t="s">
        <v>568</v>
      </c>
      <c r="AQ84" s="75" t="s">
        <v>569</v>
      </c>
      <c r="AR84" s="75" t="s">
        <v>25</v>
      </c>
      <c r="AS84" s="75" t="s">
        <v>92</v>
      </c>
      <c r="AT84" s="75" t="s">
        <v>570</v>
      </c>
      <c r="AU84" s="75" t="s">
        <v>22</v>
      </c>
      <c r="AW84" s="85" t="s">
        <v>1968</v>
      </c>
      <c r="AX84" s="75" t="s">
        <v>24</v>
      </c>
      <c r="AY84" s="75" t="s">
        <v>566</v>
      </c>
      <c r="AZ84" s="75" t="s">
        <v>567</v>
      </c>
      <c r="BA84" s="75" t="s">
        <v>8</v>
      </c>
      <c r="BB84" s="75" t="s">
        <v>568</v>
      </c>
      <c r="BC84" s="75" t="s">
        <v>569</v>
      </c>
      <c r="BD84" s="75" t="s">
        <v>25</v>
      </c>
      <c r="BE84" s="75" t="s">
        <v>92</v>
      </c>
      <c r="BF84" s="75" t="s">
        <v>570</v>
      </c>
      <c r="BG84" s="75" t="s">
        <v>22</v>
      </c>
      <c r="BI84" s="85" t="s">
        <v>1913</v>
      </c>
      <c r="BJ84" s="75" t="s">
        <v>24</v>
      </c>
      <c r="BK84" s="75" t="s">
        <v>566</v>
      </c>
      <c r="BL84" s="75" t="s">
        <v>567</v>
      </c>
      <c r="BM84" s="75" t="s">
        <v>8</v>
      </c>
      <c r="BN84" s="75" t="s">
        <v>568</v>
      </c>
      <c r="BO84" s="75" t="s">
        <v>569</v>
      </c>
      <c r="BP84" s="75" t="s">
        <v>25</v>
      </c>
      <c r="BQ84" s="75" t="s">
        <v>92</v>
      </c>
      <c r="BR84" s="75" t="s">
        <v>570</v>
      </c>
      <c r="BS84" s="75" t="s">
        <v>22</v>
      </c>
      <c r="BU84" s="85" t="s">
        <v>1785</v>
      </c>
      <c r="BV84" s="75" t="s">
        <v>24</v>
      </c>
      <c r="BW84" s="75" t="s">
        <v>566</v>
      </c>
      <c r="BX84" s="75" t="s">
        <v>567</v>
      </c>
      <c r="BY84" s="75" t="s">
        <v>8</v>
      </c>
      <c r="BZ84" s="75" t="s">
        <v>568</v>
      </c>
      <c r="CA84" s="75" t="s">
        <v>569</v>
      </c>
      <c r="CB84" s="75" t="s">
        <v>25</v>
      </c>
      <c r="CC84" s="75" t="s">
        <v>92</v>
      </c>
      <c r="CD84" s="75" t="s">
        <v>570</v>
      </c>
      <c r="CE84" s="75" t="s">
        <v>22</v>
      </c>
      <c r="CG84" s="85" t="s">
        <v>1728</v>
      </c>
      <c r="CH84" s="75" t="s">
        <v>24</v>
      </c>
      <c r="CI84" s="75" t="s">
        <v>566</v>
      </c>
      <c r="CJ84" s="75" t="s">
        <v>567</v>
      </c>
      <c r="CK84" s="75" t="s">
        <v>8</v>
      </c>
      <c r="CL84" s="75" t="s">
        <v>568</v>
      </c>
      <c r="CM84" s="75" t="s">
        <v>569</v>
      </c>
      <c r="CN84" s="75" t="s">
        <v>25</v>
      </c>
      <c r="CO84" s="75" t="s">
        <v>92</v>
      </c>
      <c r="CP84" s="75" t="s">
        <v>570</v>
      </c>
      <c r="CQ84" s="75" t="s">
        <v>22</v>
      </c>
    </row>
    <row r="85" spans="1:95" ht="12.6" customHeight="1">
      <c r="A85" s="12" t="s">
        <v>11</v>
      </c>
      <c r="B85" s="44">
        <v>0</v>
      </c>
      <c r="C85" s="44">
        <v>0</v>
      </c>
      <c r="D85" s="44">
        <v>0</v>
      </c>
      <c r="E85" s="44">
        <v>0</v>
      </c>
      <c r="F85" s="44">
        <v>0</v>
      </c>
      <c r="G85" s="44">
        <v>0</v>
      </c>
      <c r="H85" s="44">
        <v>0</v>
      </c>
      <c r="I85" s="44">
        <v>0</v>
      </c>
      <c r="J85" s="44">
        <v>0</v>
      </c>
      <c r="K85" s="43">
        <v>0</v>
      </c>
      <c r="M85" s="12" t="s">
        <v>11</v>
      </c>
      <c r="N85" s="44">
        <v>0</v>
      </c>
      <c r="O85" s="44">
        <v>0</v>
      </c>
      <c r="P85" s="44">
        <v>0</v>
      </c>
      <c r="Q85" s="44">
        <v>0</v>
      </c>
      <c r="R85" s="44">
        <v>0</v>
      </c>
      <c r="S85" s="44">
        <v>0</v>
      </c>
      <c r="T85" s="44">
        <v>0</v>
      </c>
      <c r="U85" s="44">
        <v>0</v>
      </c>
      <c r="V85" s="44">
        <v>0</v>
      </c>
      <c r="W85" s="43">
        <v>0</v>
      </c>
      <c r="Y85" s="12" t="s">
        <v>11</v>
      </c>
      <c r="Z85" s="44">
        <v>0</v>
      </c>
      <c r="AA85" s="44">
        <v>0</v>
      </c>
      <c r="AB85" s="44">
        <v>0</v>
      </c>
      <c r="AC85" s="44">
        <v>0</v>
      </c>
      <c r="AD85" s="44">
        <v>0</v>
      </c>
      <c r="AE85" s="44">
        <v>0</v>
      </c>
      <c r="AF85" s="44">
        <v>0</v>
      </c>
      <c r="AG85" s="44">
        <v>0</v>
      </c>
      <c r="AH85" s="44"/>
      <c r="AI85" s="43">
        <f t="shared" ref="AI85:AI99" si="23">SUM(Z85:AH85)</f>
        <v>0</v>
      </c>
      <c r="AK85" s="12" t="s">
        <v>11</v>
      </c>
      <c r="AL85" s="44">
        <v>0</v>
      </c>
      <c r="AM85" s="44">
        <v>0</v>
      </c>
      <c r="AN85" s="44">
        <v>0</v>
      </c>
      <c r="AO85" s="44">
        <v>0</v>
      </c>
      <c r="AP85" s="44">
        <v>0</v>
      </c>
      <c r="AQ85" s="44">
        <v>0</v>
      </c>
      <c r="AR85" s="44">
        <v>0</v>
      </c>
      <c r="AS85" s="44">
        <v>0</v>
      </c>
      <c r="AT85" s="44"/>
      <c r="AU85" s="43">
        <f>SUM(AL85:AT85)</f>
        <v>0</v>
      </c>
      <c r="AW85" s="12" t="s">
        <v>11</v>
      </c>
      <c r="AX85" s="44">
        <v>0</v>
      </c>
      <c r="AY85" s="44">
        <v>0</v>
      </c>
      <c r="AZ85" s="44">
        <v>0</v>
      </c>
      <c r="BA85" s="44">
        <v>0</v>
      </c>
      <c r="BB85" s="44">
        <v>0</v>
      </c>
      <c r="BC85" s="44">
        <v>0</v>
      </c>
      <c r="BD85" s="44">
        <v>0</v>
      </c>
      <c r="BE85" s="44">
        <v>0</v>
      </c>
      <c r="BF85" s="44"/>
      <c r="BG85" s="43">
        <f>SUM(AX85:BF85)</f>
        <v>0</v>
      </c>
      <c r="BI85" s="12" t="s">
        <v>11</v>
      </c>
      <c r="BJ85" s="44">
        <v>0</v>
      </c>
      <c r="BK85" s="44">
        <v>0</v>
      </c>
      <c r="BL85" s="44">
        <v>0</v>
      </c>
      <c r="BM85" s="44">
        <v>0</v>
      </c>
      <c r="BN85" s="44">
        <v>0.339009</v>
      </c>
      <c r="BO85" s="44">
        <v>0</v>
      </c>
      <c r="BP85" s="44">
        <v>0</v>
      </c>
      <c r="BQ85" s="44">
        <v>0</v>
      </c>
      <c r="BR85" s="44"/>
      <c r="BS85" s="43">
        <v>0.339009</v>
      </c>
      <c r="BU85" s="12" t="s">
        <v>11</v>
      </c>
      <c r="BV85" s="44">
        <v>0</v>
      </c>
      <c r="BW85" s="44">
        <v>0</v>
      </c>
      <c r="BX85" s="44">
        <v>0</v>
      </c>
      <c r="BY85" s="44">
        <v>0</v>
      </c>
      <c r="BZ85" s="44">
        <v>0</v>
      </c>
      <c r="CA85" s="44">
        <v>0</v>
      </c>
      <c r="CB85" s="44">
        <v>0</v>
      </c>
      <c r="CC85" s="44">
        <v>0</v>
      </c>
      <c r="CD85" s="44">
        <v>0</v>
      </c>
      <c r="CE85" s="43">
        <f t="shared" ref="CE85:CE99" si="24">SUM(BV85:CD85)</f>
        <v>0</v>
      </c>
      <c r="CG85" s="12" t="s">
        <v>11</v>
      </c>
      <c r="CH85" s="44">
        <v>0</v>
      </c>
      <c r="CI85" s="44">
        <v>0</v>
      </c>
      <c r="CJ85" s="44">
        <v>0</v>
      </c>
      <c r="CK85" s="44">
        <v>0</v>
      </c>
      <c r="CL85" s="44">
        <v>0</v>
      </c>
      <c r="CM85" s="44">
        <v>0</v>
      </c>
      <c r="CN85" s="44">
        <v>0</v>
      </c>
      <c r="CO85" s="44">
        <v>0</v>
      </c>
      <c r="CP85" s="44">
        <v>0</v>
      </c>
      <c r="CQ85" s="43">
        <f t="shared" ref="CQ85:CQ99" si="25">SUM(CH85:CP85)</f>
        <v>0</v>
      </c>
    </row>
    <row r="86" spans="1:95" ht="12.6" customHeight="1">
      <c r="A86" s="12" t="s">
        <v>12</v>
      </c>
      <c r="B86" s="44">
        <v>1.1000000000000001</v>
      </c>
      <c r="C86" s="44">
        <v>0.3</v>
      </c>
      <c r="D86" s="44">
        <v>0.5</v>
      </c>
      <c r="E86" s="44">
        <v>0</v>
      </c>
      <c r="F86" s="44">
        <v>0</v>
      </c>
      <c r="G86" s="44">
        <v>0</v>
      </c>
      <c r="H86" s="44">
        <v>0</v>
      </c>
      <c r="I86" s="44">
        <v>0</v>
      </c>
      <c r="J86" s="44">
        <v>0</v>
      </c>
      <c r="K86" s="43">
        <v>1.8</v>
      </c>
      <c r="M86" s="12" t="s">
        <v>12</v>
      </c>
      <c r="N86" s="44">
        <v>0</v>
      </c>
      <c r="O86" s="44">
        <v>0</v>
      </c>
      <c r="P86" s="44">
        <v>0</v>
      </c>
      <c r="Q86" s="44">
        <v>0</v>
      </c>
      <c r="R86" s="44">
        <v>0</v>
      </c>
      <c r="S86" s="44">
        <v>0.3</v>
      </c>
      <c r="T86" s="44">
        <v>0.8</v>
      </c>
      <c r="U86" s="44">
        <v>0</v>
      </c>
      <c r="V86" s="44">
        <v>0</v>
      </c>
      <c r="W86" s="43">
        <v>1.1000000000000001</v>
      </c>
      <c r="Y86" s="12" t="s">
        <v>12</v>
      </c>
      <c r="Z86" s="44">
        <v>0</v>
      </c>
      <c r="AA86" s="44">
        <v>0</v>
      </c>
      <c r="AB86" s="44">
        <v>0</v>
      </c>
      <c r="AC86" s="44">
        <v>0</v>
      </c>
      <c r="AD86" s="44">
        <v>0</v>
      </c>
      <c r="AE86" s="44">
        <v>0</v>
      </c>
      <c r="AF86" s="44">
        <v>0.8</v>
      </c>
      <c r="AG86" s="44">
        <v>0</v>
      </c>
      <c r="AH86" s="44">
        <v>0.5</v>
      </c>
      <c r="AI86" s="43">
        <f t="shared" si="23"/>
        <v>1.3</v>
      </c>
      <c r="AK86" s="12" t="s">
        <v>12</v>
      </c>
      <c r="AL86" s="44">
        <v>0.8</v>
      </c>
      <c r="AM86" s="44">
        <v>0</v>
      </c>
      <c r="AN86" s="44">
        <v>0</v>
      </c>
      <c r="AO86" s="44">
        <v>0</v>
      </c>
      <c r="AP86" s="44">
        <v>0</v>
      </c>
      <c r="AQ86" s="44">
        <v>0</v>
      </c>
      <c r="AR86" s="44">
        <v>0</v>
      </c>
      <c r="AS86" s="44">
        <v>0</v>
      </c>
      <c r="AT86" s="44">
        <v>0.8</v>
      </c>
      <c r="AU86" s="43">
        <v>1.8</v>
      </c>
      <c r="AW86" s="12" t="s">
        <v>12</v>
      </c>
      <c r="AX86" s="44">
        <v>1.1000000000000001</v>
      </c>
      <c r="AY86" s="44">
        <v>0</v>
      </c>
      <c r="AZ86" s="44">
        <v>0</v>
      </c>
      <c r="BA86" s="44">
        <v>0</v>
      </c>
      <c r="BB86" s="44">
        <v>0.8</v>
      </c>
      <c r="BC86" s="44">
        <v>0</v>
      </c>
      <c r="BD86" s="44">
        <v>0</v>
      </c>
      <c r="BE86" s="44">
        <v>0</v>
      </c>
      <c r="BF86" s="44"/>
      <c r="BG86" s="43">
        <v>1.8</v>
      </c>
      <c r="BI86" s="12" t="s">
        <v>12</v>
      </c>
      <c r="BJ86" s="44">
        <v>0.65</v>
      </c>
      <c r="BK86" s="44">
        <v>0</v>
      </c>
      <c r="BL86" s="44">
        <v>0</v>
      </c>
      <c r="BM86" s="44">
        <v>0</v>
      </c>
      <c r="BN86" s="44">
        <v>0</v>
      </c>
      <c r="BO86" s="44">
        <v>0</v>
      </c>
      <c r="BP86" s="44">
        <v>0.75</v>
      </c>
      <c r="BQ86" s="44">
        <v>0</v>
      </c>
      <c r="BR86" s="44"/>
      <c r="BS86" s="43">
        <v>1.4</v>
      </c>
      <c r="BU86" s="12" t="s">
        <v>12</v>
      </c>
      <c r="BV86" s="44">
        <v>0.53689999999999993</v>
      </c>
      <c r="BW86" s="44">
        <v>0</v>
      </c>
      <c r="BX86" s="44">
        <v>0</v>
      </c>
      <c r="BY86" s="44">
        <v>0</v>
      </c>
      <c r="BZ86" s="44">
        <v>0</v>
      </c>
      <c r="CA86" s="44">
        <v>0.4</v>
      </c>
      <c r="CB86" s="44">
        <v>0.9</v>
      </c>
      <c r="CC86" s="44">
        <v>0</v>
      </c>
      <c r="CD86" s="44">
        <v>0</v>
      </c>
      <c r="CE86" s="43">
        <f t="shared" si="24"/>
        <v>1.8369</v>
      </c>
      <c r="CG86" s="12" t="s">
        <v>12</v>
      </c>
      <c r="CH86" s="44">
        <v>0.53689999999999993</v>
      </c>
      <c r="CI86" s="44">
        <v>0</v>
      </c>
      <c r="CJ86" s="44">
        <v>0</v>
      </c>
      <c r="CK86" s="44">
        <v>0</v>
      </c>
      <c r="CL86" s="44">
        <v>0.43599999999999994</v>
      </c>
      <c r="CM86" s="44">
        <v>0</v>
      </c>
      <c r="CN86" s="44">
        <v>0</v>
      </c>
      <c r="CO86" s="44">
        <v>0</v>
      </c>
      <c r="CP86" s="44">
        <v>0</v>
      </c>
      <c r="CQ86" s="43">
        <f t="shared" si="25"/>
        <v>0.97289999999999988</v>
      </c>
    </row>
    <row r="87" spans="1:95" ht="12.6" customHeight="1">
      <c r="A87" s="12" t="s">
        <v>13</v>
      </c>
      <c r="B87" s="44">
        <v>5.5</v>
      </c>
      <c r="C87" s="44">
        <v>0</v>
      </c>
      <c r="D87" s="44">
        <v>0</v>
      </c>
      <c r="E87" s="44">
        <v>0.6</v>
      </c>
      <c r="F87" s="44">
        <v>0.7</v>
      </c>
      <c r="G87" s="44">
        <v>0.2</v>
      </c>
      <c r="H87" s="44">
        <v>0</v>
      </c>
      <c r="I87" s="44">
        <v>0</v>
      </c>
      <c r="J87" s="44">
        <v>0</v>
      </c>
      <c r="K87" s="43">
        <v>7</v>
      </c>
      <c r="M87" s="12" t="s">
        <v>13</v>
      </c>
      <c r="N87" s="44">
        <v>2.5</v>
      </c>
      <c r="O87" s="44">
        <v>0</v>
      </c>
      <c r="P87" s="44">
        <v>0</v>
      </c>
      <c r="Q87" s="44">
        <v>0</v>
      </c>
      <c r="R87" s="44">
        <v>0.4</v>
      </c>
      <c r="S87" s="44">
        <v>0</v>
      </c>
      <c r="T87" s="44">
        <v>0</v>
      </c>
      <c r="U87" s="44">
        <v>0</v>
      </c>
      <c r="V87" s="44">
        <v>0</v>
      </c>
      <c r="W87" s="43">
        <v>3</v>
      </c>
      <c r="Y87" s="12" t="s">
        <v>13</v>
      </c>
      <c r="Z87" s="44">
        <v>1.2</v>
      </c>
      <c r="AA87" s="44">
        <v>0</v>
      </c>
      <c r="AB87" s="44">
        <v>0</v>
      </c>
      <c r="AC87" s="44">
        <v>0</v>
      </c>
      <c r="AD87" s="44">
        <v>0.8</v>
      </c>
      <c r="AE87" s="44">
        <v>0</v>
      </c>
      <c r="AF87" s="44">
        <v>0</v>
      </c>
      <c r="AG87" s="44">
        <v>0</v>
      </c>
      <c r="AH87" s="44">
        <v>0</v>
      </c>
      <c r="AI87" s="43">
        <f t="shared" si="23"/>
        <v>2</v>
      </c>
      <c r="AK87" s="12" t="s">
        <v>13</v>
      </c>
      <c r="AL87" s="44">
        <v>2.6</v>
      </c>
      <c r="AM87" s="44">
        <v>0</v>
      </c>
      <c r="AN87" s="44">
        <v>0</v>
      </c>
      <c r="AO87" s="44">
        <v>0</v>
      </c>
      <c r="AP87" s="44">
        <v>1.3</v>
      </c>
      <c r="AQ87" s="44">
        <v>0</v>
      </c>
      <c r="AR87" s="44">
        <v>0</v>
      </c>
      <c r="AS87" s="44">
        <v>0</v>
      </c>
      <c r="AT87" s="44"/>
      <c r="AU87" s="43">
        <f t="shared" ref="AU87:AU97" si="26">SUM(AL87:AT87)</f>
        <v>3.9000000000000004</v>
      </c>
      <c r="AW87" s="12" t="s">
        <v>13</v>
      </c>
      <c r="AX87" s="44">
        <v>3.2</v>
      </c>
      <c r="AY87" s="44">
        <v>0</v>
      </c>
      <c r="AZ87" s="44">
        <v>0</v>
      </c>
      <c r="BA87" s="44">
        <v>0</v>
      </c>
      <c r="BB87" s="44">
        <v>1.5</v>
      </c>
      <c r="BC87" s="44">
        <v>0</v>
      </c>
      <c r="BD87" s="44">
        <v>0</v>
      </c>
      <c r="BE87" s="44">
        <v>0</v>
      </c>
      <c r="BF87" s="44"/>
      <c r="BG87" s="43">
        <f t="shared" ref="BG87:BG97" si="27">SUM(AX87:BF87)</f>
        <v>4.7</v>
      </c>
      <c r="BI87" s="12" t="s">
        <v>13</v>
      </c>
      <c r="BJ87" s="44">
        <v>3.1370999999999998</v>
      </c>
      <c r="BK87" s="44">
        <v>0</v>
      </c>
      <c r="BL87" s="44">
        <v>0</v>
      </c>
      <c r="BM87" s="44">
        <v>0</v>
      </c>
      <c r="BN87" s="44">
        <v>0.47499999999999998</v>
      </c>
      <c r="BO87" s="44">
        <v>0</v>
      </c>
      <c r="BP87" s="44">
        <v>0</v>
      </c>
      <c r="BQ87" s="44">
        <v>0</v>
      </c>
      <c r="BR87" s="44"/>
      <c r="BS87" s="43">
        <v>3.6120999999999999</v>
      </c>
      <c r="BU87" s="12" t="s">
        <v>13</v>
      </c>
      <c r="BV87" s="44">
        <v>2.7</v>
      </c>
      <c r="BW87" s="44">
        <v>0</v>
      </c>
      <c r="BX87" s="44">
        <v>0</v>
      </c>
      <c r="BY87" s="44">
        <v>0</v>
      </c>
      <c r="BZ87" s="44">
        <v>0</v>
      </c>
      <c r="CA87" s="44">
        <v>0.2</v>
      </c>
      <c r="CB87" s="44">
        <v>0</v>
      </c>
      <c r="CC87" s="44">
        <v>0</v>
      </c>
      <c r="CD87" s="44">
        <v>0</v>
      </c>
      <c r="CE87" s="43">
        <f t="shared" si="24"/>
        <v>2.9000000000000004</v>
      </c>
      <c r="CG87" s="12" t="s">
        <v>13</v>
      </c>
      <c r="CH87" s="44">
        <v>2.3355000000000001</v>
      </c>
      <c r="CI87" s="44">
        <v>0</v>
      </c>
      <c r="CJ87" s="44">
        <v>0</v>
      </c>
      <c r="CK87" s="44">
        <v>0</v>
      </c>
      <c r="CL87" s="44">
        <v>0.7831999999999999</v>
      </c>
      <c r="CM87" s="44">
        <v>0</v>
      </c>
      <c r="CN87" s="44">
        <v>0</v>
      </c>
      <c r="CO87" s="44">
        <v>0</v>
      </c>
      <c r="CP87" s="44">
        <v>0</v>
      </c>
      <c r="CQ87" s="43">
        <f t="shared" si="25"/>
        <v>3.1187</v>
      </c>
    </row>
    <row r="88" spans="1:95" ht="12.6" customHeight="1">
      <c r="A88" s="12" t="s">
        <v>14</v>
      </c>
      <c r="B88" s="44">
        <v>0</v>
      </c>
      <c r="C88" s="44">
        <v>0</v>
      </c>
      <c r="D88" s="44">
        <v>0</v>
      </c>
      <c r="E88" s="44">
        <v>0</v>
      </c>
      <c r="F88" s="44">
        <v>0</v>
      </c>
      <c r="G88" s="44">
        <v>0</v>
      </c>
      <c r="H88" s="44">
        <v>0</v>
      </c>
      <c r="I88" s="44">
        <v>0</v>
      </c>
      <c r="J88" s="44">
        <v>0</v>
      </c>
      <c r="K88" s="43">
        <v>0</v>
      </c>
      <c r="M88" s="12" t="s">
        <v>14</v>
      </c>
      <c r="N88" s="44">
        <v>0</v>
      </c>
      <c r="O88" s="44">
        <v>0</v>
      </c>
      <c r="P88" s="44">
        <v>0</v>
      </c>
      <c r="Q88" s="44">
        <v>0</v>
      </c>
      <c r="R88" s="44">
        <v>0</v>
      </c>
      <c r="S88" s="44">
        <v>0</v>
      </c>
      <c r="T88" s="44">
        <v>0</v>
      </c>
      <c r="U88" s="44">
        <v>0</v>
      </c>
      <c r="V88" s="44">
        <v>0</v>
      </c>
      <c r="W88" s="43">
        <v>0</v>
      </c>
      <c r="Y88" s="12" t="s">
        <v>14</v>
      </c>
      <c r="Z88" s="44">
        <v>0</v>
      </c>
      <c r="AA88" s="44">
        <v>0</v>
      </c>
      <c r="AB88" s="44">
        <v>0</v>
      </c>
      <c r="AC88" s="44">
        <v>0</v>
      </c>
      <c r="AD88" s="44">
        <v>0</v>
      </c>
      <c r="AE88" s="44">
        <v>0</v>
      </c>
      <c r="AF88" s="44">
        <v>0</v>
      </c>
      <c r="AG88" s="44">
        <v>0</v>
      </c>
      <c r="AH88" s="44"/>
      <c r="AI88" s="43">
        <f t="shared" si="23"/>
        <v>0</v>
      </c>
      <c r="AK88" s="12" t="s">
        <v>14</v>
      </c>
      <c r="AL88" s="44">
        <v>0</v>
      </c>
      <c r="AM88" s="44">
        <v>0</v>
      </c>
      <c r="AN88" s="44">
        <v>0</v>
      </c>
      <c r="AO88" s="44">
        <v>0</v>
      </c>
      <c r="AP88" s="44">
        <v>0</v>
      </c>
      <c r="AQ88" s="44">
        <v>0</v>
      </c>
      <c r="AR88" s="44">
        <v>0</v>
      </c>
      <c r="AS88" s="44">
        <v>0</v>
      </c>
      <c r="AT88" s="44">
        <v>0</v>
      </c>
      <c r="AU88" s="43">
        <f t="shared" si="26"/>
        <v>0</v>
      </c>
      <c r="AW88" s="12" t="s">
        <v>14</v>
      </c>
      <c r="AX88" s="44">
        <v>0</v>
      </c>
      <c r="AY88" s="44">
        <v>0</v>
      </c>
      <c r="AZ88" s="44">
        <v>0</v>
      </c>
      <c r="BA88" s="44">
        <v>0</v>
      </c>
      <c r="BB88" s="44">
        <v>0</v>
      </c>
      <c r="BC88" s="44">
        <v>0</v>
      </c>
      <c r="BD88" s="44">
        <v>0</v>
      </c>
      <c r="BE88" s="44">
        <v>0</v>
      </c>
      <c r="BF88" s="44">
        <v>0</v>
      </c>
      <c r="BG88" s="43">
        <f t="shared" si="27"/>
        <v>0</v>
      </c>
      <c r="BI88" s="12" t="s">
        <v>14</v>
      </c>
      <c r="BJ88" s="44">
        <v>0</v>
      </c>
      <c r="BK88" s="44">
        <v>0</v>
      </c>
      <c r="BL88" s="44">
        <v>0</v>
      </c>
      <c r="BM88" s="44">
        <v>0</v>
      </c>
      <c r="BN88" s="44">
        <v>0</v>
      </c>
      <c r="BO88" s="44">
        <v>0</v>
      </c>
      <c r="BP88" s="44">
        <v>0</v>
      </c>
      <c r="BQ88" s="44">
        <v>0</v>
      </c>
      <c r="BR88" s="44">
        <v>0</v>
      </c>
      <c r="BS88" s="43">
        <f t="shared" ref="BS88:BS99" si="28">SUM(BJ88:BR88)</f>
        <v>0</v>
      </c>
      <c r="BU88" s="12" t="s">
        <v>14</v>
      </c>
      <c r="BV88" s="44">
        <v>0</v>
      </c>
      <c r="BW88" s="44">
        <v>0</v>
      </c>
      <c r="BX88" s="44">
        <v>0</v>
      </c>
      <c r="BY88" s="44">
        <v>0</v>
      </c>
      <c r="BZ88" s="44">
        <v>0</v>
      </c>
      <c r="CA88" s="44">
        <v>0</v>
      </c>
      <c r="CB88" s="44">
        <v>0</v>
      </c>
      <c r="CC88" s="44">
        <v>0</v>
      </c>
      <c r="CD88" s="44">
        <v>0</v>
      </c>
      <c r="CE88" s="43">
        <f t="shared" si="24"/>
        <v>0</v>
      </c>
      <c r="CG88" s="12" t="s">
        <v>14</v>
      </c>
      <c r="CH88" s="44">
        <v>0</v>
      </c>
      <c r="CI88" s="44">
        <v>0</v>
      </c>
      <c r="CJ88" s="44">
        <v>0</v>
      </c>
      <c r="CK88" s="44">
        <v>0</v>
      </c>
      <c r="CL88" s="44">
        <v>0</v>
      </c>
      <c r="CM88" s="44">
        <v>0</v>
      </c>
      <c r="CN88" s="44">
        <v>0</v>
      </c>
      <c r="CO88" s="44">
        <v>0</v>
      </c>
      <c r="CP88" s="44">
        <v>0</v>
      </c>
      <c r="CQ88" s="43">
        <f t="shared" si="25"/>
        <v>0</v>
      </c>
    </row>
    <row r="89" spans="1:95" ht="12.6" customHeight="1">
      <c r="A89" s="12" t="s">
        <v>15</v>
      </c>
      <c r="B89" s="44">
        <v>0</v>
      </c>
      <c r="C89" s="44">
        <v>0</v>
      </c>
      <c r="D89" s="44">
        <v>0</v>
      </c>
      <c r="E89" s="44">
        <v>0</v>
      </c>
      <c r="F89" s="44">
        <v>0</v>
      </c>
      <c r="G89" s="44">
        <v>0</v>
      </c>
      <c r="H89" s="44">
        <v>0.2</v>
      </c>
      <c r="I89" s="44">
        <v>0</v>
      </c>
      <c r="J89" s="44">
        <v>0</v>
      </c>
      <c r="K89" s="43">
        <v>0.2</v>
      </c>
      <c r="M89" s="12" t="s">
        <v>15</v>
      </c>
      <c r="N89" s="44">
        <v>0.3</v>
      </c>
      <c r="O89" s="44">
        <v>0</v>
      </c>
      <c r="P89" s="44">
        <v>0</v>
      </c>
      <c r="Q89" s="44">
        <v>0.3</v>
      </c>
      <c r="R89" s="44">
        <v>0</v>
      </c>
      <c r="S89" s="44">
        <v>0</v>
      </c>
      <c r="T89" s="44">
        <v>0.4</v>
      </c>
      <c r="U89" s="44">
        <v>0</v>
      </c>
      <c r="V89" s="44">
        <v>0</v>
      </c>
      <c r="W89" s="43">
        <v>1.1000000000000001</v>
      </c>
      <c r="Y89" s="12" t="s">
        <v>15</v>
      </c>
      <c r="Z89" s="44">
        <v>0</v>
      </c>
      <c r="AA89" s="44">
        <v>0</v>
      </c>
      <c r="AB89" s="44">
        <v>0</v>
      </c>
      <c r="AC89" s="44">
        <v>0</v>
      </c>
      <c r="AD89" s="44">
        <v>0</v>
      </c>
      <c r="AE89" s="44">
        <v>0</v>
      </c>
      <c r="AF89" s="44">
        <v>0.7</v>
      </c>
      <c r="AG89" s="44">
        <v>0</v>
      </c>
      <c r="AH89" s="44">
        <v>0</v>
      </c>
      <c r="AI89" s="43">
        <f t="shared" si="23"/>
        <v>0.7</v>
      </c>
      <c r="AK89" s="12" t="s">
        <v>15</v>
      </c>
      <c r="AL89" s="44">
        <v>0</v>
      </c>
      <c r="AM89" s="44">
        <v>0</v>
      </c>
      <c r="AN89" s="44">
        <v>0</v>
      </c>
      <c r="AO89" s="44">
        <v>0</v>
      </c>
      <c r="AP89" s="44">
        <v>0</v>
      </c>
      <c r="AQ89" s="44">
        <v>0</v>
      </c>
      <c r="AR89" s="44">
        <v>1.4</v>
      </c>
      <c r="AS89" s="44">
        <v>0</v>
      </c>
      <c r="AT89" s="44"/>
      <c r="AU89" s="43">
        <f t="shared" si="26"/>
        <v>1.4</v>
      </c>
      <c r="AW89" s="12" t="s">
        <v>15</v>
      </c>
      <c r="AX89" s="44">
        <v>0</v>
      </c>
      <c r="AY89" s="44">
        <v>0</v>
      </c>
      <c r="AZ89" s="44">
        <v>0</v>
      </c>
      <c r="BA89" s="44">
        <v>0</v>
      </c>
      <c r="BB89" s="44">
        <v>0</v>
      </c>
      <c r="BC89" s="44">
        <v>0</v>
      </c>
      <c r="BD89" s="44">
        <v>0.7</v>
      </c>
      <c r="BE89" s="44">
        <v>0</v>
      </c>
      <c r="BF89" s="44"/>
      <c r="BG89" s="43">
        <f t="shared" si="27"/>
        <v>0.7</v>
      </c>
      <c r="BI89" s="12" t="s">
        <v>15</v>
      </c>
      <c r="BJ89" s="44">
        <v>0</v>
      </c>
      <c r="BK89" s="44">
        <v>0</v>
      </c>
      <c r="BL89" s="44">
        <v>0</v>
      </c>
      <c r="BM89" s="44">
        <v>0</v>
      </c>
      <c r="BN89" s="44">
        <v>0</v>
      </c>
      <c r="BO89" s="44">
        <v>0</v>
      </c>
      <c r="BP89" s="44">
        <v>2.2954430000000001</v>
      </c>
      <c r="BQ89" s="44">
        <v>0</v>
      </c>
      <c r="BR89" s="44"/>
      <c r="BS89" s="43">
        <v>2.2954430000000001</v>
      </c>
      <c r="BU89" s="12" t="s">
        <v>15</v>
      </c>
      <c r="BV89" s="44">
        <v>0.22334000000000001</v>
      </c>
      <c r="BW89" s="44">
        <v>0</v>
      </c>
      <c r="BX89" s="44">
        <v>0</v>
      </c>
      <c r="BY89" s="44">
        <v>0</v>
      </c>
      <c r="BZ89" s="44">
        <v>0</v>
      </c>
      <c r="CA89" s="44">
        <v>0</v>
      </c>
      <c r="CB89" s="44">
        <v>0.4</v>
      </c>
      <c r="CC89" s="44">
        <v>0</v>
      </c>
      <c r="CD89" s="44">
        <v>0</v>
      </c>
      <c r="CE89" s="43">
        <f t="shared" si="24"/>
        <v>0.62334000000000001</v>
      </c>
      <c r="CG89" s="12" t="s">
        <v>15</v>
      </c>
      <c r="CH89" s="44">
        <v>0.22334000000000001</v>
      </c>
      <c r="CI89" s="44">
        <v>0</v>
      </c>
      <c r="CJ89" s="44">
        <v>0</v>
      </c>
      <c r="CK89" s="44">
        <v>0</v>
      </c>
      <c r="CL89" s="44">
        <v>0</v>
      </c>
      <c r="CM89" s="44">
        <v>0</v>
      </c>
      <c r="CN89" s="44">
        <v>0.13631000000000001</v>
      </c>
      <c r="CO89" s="44">
        <v>0.44491400000000009</v>
      </c>
      <c r="CP89" s="44">
        <v>0</v>
      </c>
      <c r="CQ89" s="43">
        <f t="shared" si="25"/>
        <v>0.80456400000000006</v>
      </c>
    </row>
    <row r="90" spans="1:95" ht="12.6" customHeight="1">
      <c r="A90" s="12" t="s">
        <v>16</v>
      </c>
      <c r="B90" s="44">
        <v>1</v>
      </c>
      <c r="C90" s="44">
        <v>0</v>
      </c>
      <c r="D90" s="44">
        <v>0</v>
      </c>
      <c r="E90" s="44">
        <v>0</v>
      </c>
      <c r="F90" s="44">
        <v>2</v>
      </c>
      <c r="G90" s="44">
        <v>0</v>
      </c>
      <c r="H90" s="44">
        <v>0</v>
      </c>
      <c r="I90" s="44">
        <v>0</v>
      </c>
      <c r="J90" s="44">
        <v>0</v>
      </c>
      <c r="K90" s="43">
        <v>3</v>
      </c>
      <c r="M90" s="12" t="s">
        <v>16</v>
      </c>
      <c r="N90" s="44">
        <v>0.6</v>
      </c>
      <c r="O90" s="44">
        <v>0</v>
      </c>
      <c r="P90" s="44">
        <v>0</v>
      </c>
      <c r="Q90" s="44">
        <v>0</v>
      </c>
      <c r="R90" s="44">
        <v>1.1000000000000001</v>
      </c>
      <c r="S90" s="44">
        <v>0</v>
      </c>
      <c r="T90" s="44">
        <v>0</v>
      </c>
      <c r="U90" s="44">
        <v>0</v>
      </c>
      <c r="V90" s="44">
        <v>0</v>
      </c>
      <c r="W90" s="43">
        <v>1.6</v>
      </c>
      <c r="Y90" s="12" t="s">
        <v>16</v>
      </c>
      <c r="Z90" s="44">
        <v>1.2</v>
      </c>
      <c r="AA90" s="44">
        <v>0</v>
      </c>
      <c r="AB90" s="44">
        <v>0</v>
      </c>
      <c r="AC90" s="44">
        <v>0</v>
      </c>
      <c r="AD90" s="44">
        <v>0</v>
      </c>
      <c r="AE90" s="44">
        <v>0</v>
      </c>
      <c r="AF90" s="44">
        <v>0</v>
      </c>
      <c r="AG90" s="44">
        <v>0</v>
      </c>
      <c r="AH90" s="44"/>
      <c r="AI90" s="43">
        <f t="shared" si="23"/>
        <v>1.2</v>
      </c>
      <c r="AK90" s="12" t="s">
        <v>16</v>
      </c>
      <c r="AL90" s="44">
        <v>0.7</v>
      </c>
      <c r="AM90" s="44">
        <v>0</v>
      </c>
      <c r="AN90" s="44">
        <v>0</v>
      </c>
      <c r="AO90" s="44">
        <v>0</v>
      </c>
      <c r="AP90" s="44">
        <v>1.6</v>
      </c>
      <c r="AQ90" s="44">
        <v>0</v>
      </c>
      <c r="AR90" s="44"/>
      <c r="AS90" s="44">
        <v>0</v>
      </c>
      <c r="AT90" s="44"/>
      <c r="AU90" s="43">
        <f t="shared" si="26"/>
        <v>2.2999999999999998</v>
      </c>
      <c r="AW90" s="12" t="s">
        <v>16</v>
      </c>
      <c r="AX90" s="44">
        <v>1.8</v>
      </c>
      <c r="AY90" s="44">
        <v>0.4</v>
      </c>
      <c r="AZ90" s="44">
        <v>0</v>
      </c>
      <c r="BA90" s="44">
        <v>0</v>
      </c>
      <c r="BB90" s="44">
        <v>1.2</v>
      </c>
      <c r="BC90" s="44">
        <v>0</v>
      </c>
      <c r="BD90" s="44">
        <v>0.6</v>
      </c>
      <c r="BE90" s="44">
        <v>0</v>
      </c>
      <c r="BF90" s="44"/>
      <c r="BG90" s="43">
        <f t="shared" si="27"/>
        <v>4</v>
      </c>
      <c r="BI90" s="12" t="s">
        <v>16</v>
      </c>
      <c r="BJ90" s="44">
        <v>0</v>
      </c>
      <c r="BK90" s="44">
        <v>0</v>
      </c>
      <c r="BL90" s="44">
        <v>0</v>
      </c>
      <c r="BM90" s="44">
        <v>0</v>
      </c>
      <c r="BN90" s="44">
        <v>0.624</v>
      </c>
      <c r="BO90" s="44">
        <v>0</v>
      </c>
      <c r="BP90" s="44">
        <v>0</v>
      </c>
      <c r="BQ90" s="44">
        <v>0</v>
      </c>
      <c r="BR90" s="44"/>
      <c r="BS90" s="43">
        <v>0.624</v>
      </c>
      <c r="BU90" s="12" t="s">
        <v>16</v>
      </c>
      <c r="BV90" s="44">
        <v>2</v>
      </c>
      <c r="BW90" s="44">
        <v>0</v>
      </c>
      <c r="BX90" s="44">
        <v>0</v>
      </c>
      <c r="BY90" s="44">
        <v>0</v>
      </c>
      <c r="BZ90" s="44">
        <v>1.1000000000000001</v>
      </c>
      <c r="CA90" s="44">
        <v>0</v>
      </c>
      <c r="CB90" s="44">
        <v>0.1</v>
      </c>
      <c r="CC90" s="44">
        <v>0</v>
      </c>
      <c r="CD90" s="44">
        <v>0</v>
      </c>
      <c r="CE90" s="43">
        <f t="shared" si="24"/>
        <v>3.2</v>
      </c>
      <c r="CG90" s="12" t="s">
        <v>16</v>
      </c>
      <c r="CH90" s="44">
        <v>1.5640000000000001</v>
      </c>
      <c r="CI90" s="44">
        <v>0</v>
      </c>
      <c r="CJ90" s="44">
        <v>0</v>
      </c>
      <c r="CK90" s="44">
        <v>0</v>
      </c>
      <c r="CL90" s="44">
        <v>0.61020000000000008</v>
      </c>
      <c r="CM90" s="44">
        <v>0</v>
      </c>
      <c r="CN90" s="44">
        <v>0</v>
      </c>
      <c r="CO90" s="44">
        <v>0</v>
      </c>
      <c r="CP90" s="44">
        <v>0</v>
      </c>
      <c r="CQ90" s="43">
        <f t="shared" si="25"/>
        <v>2.1741999999999999</v>
      </c>
    </row>
    <row r="91" spans="1:95" ht="12.6" customHeight="1">
      <c r="A91" s="12" t="s">
        <v>17</v>
      </c>
      <c r="B91" s="44">
        <v>0</v>
      </c>
      <c r="C91" s="44">
        <v>0</v>
      </c>
      <c r="D91" s="44">
        <v>0</v>
      </c>
      <c r="E91" s="44">
        <v>0</v>
      </c>
      <c r="F91" s="44">
        <v>0</v>
      </c>
      <c r="G91" s="44">
        <v>0</v>
      </c>
      <c r="H91" s="44">
        <v>1.8</v>
      </c>
      <c r="I91" s="44">
        <v>0</v>
      </c>
      <c r="J91" s="44">
        <v>0</v>
      </c>
      <c r="K91" s="43">
        <v>1.8</v>
      </c>
      <c r="M91" s="12" t="s">
        <v>17</v>
      </c>
      <c r="N91" s="44">
        <v>0</v>
      </c>
      <c r="O91" s="44">
        <v>0</v>
      </c>
      <c r="P91" s="44">
        <v>0</v>
      </c>
      <c r="Q91" s="44">
        <v>0</v>
      </c>
      <c r="R91" s="44">
        <v>0</v>
      </c>
      <c r="S91" s="44">
        <v>0</v>
      </c>
      <c r="T91" s="44">
        <v>1.8</v>
      </c>
      <c r="U91" s="44">
        <v>0</v>
      </c>
      <c r="V91" s="44">
        <v>0</v>
      </c>
      <c r="W91" s="43">
        <v>1.8</v>
      </c>
      <c r="Y91" s="12" t="s">
        <v>17</v>
      </c>
      <c r="Z91" s="44">
        <v>0</v>
      </c>
      <c r="AA91" s="44">
        <v>0</v>
      </c>
      <c r="AB91" s="44">
        <v>0</v>
      </c>
      <c r="AC91" s="44">
        <v>0</v>
      </c>
      <c r="AD91" s="44">
        <v>0</v>
      </c>
      <c r="AE91" s="44">
        <v>0</v>
      </c>
      <c r="AF91" s="44">
        <v>0.4</v>
      </c>
      <c r="AG91" s="44">
        <v>0</v>
      </c>
      <c r="AH91" s="44">
        <v>0</v>
      </c>
      <c r="AI91" s="43">
        <f t="shared" si="23"/>
        <v>0.4</v>
      </c>
      <c r="AK91" s="12" t="s">
        <v>17</v>
      </c>
      <c r="AL91" s="44">
        <v>1.1000000000000001</v>
      </c>
      <c r="AM91" s="44">
        <v>0</v>
      </c>
      <c r="AN91" s="44">
        <v>0</v>
      </c>
      <c r="AO91" s="44">
        <v>0</v>
      </c>
      <c r="AP91" s="44">
        <v>0</v>
      </c>
      <c r="AQ91" s="44">
        <v>0</v>
      </c>
      <c r="AR91" s="44">
        <v>2.4</v>
      </c>
      <c r="AS91" s="44">
        <v>0</v>
      </c>
      <c r="AT91" s="44"/>
      <c r="AU91" s="43">
        <f t="shared" si="26"/>
        <v>3.5</v>
      </c>
      <c r="AW91" s="12" t="s">
        <v>17</v>
      </c>
      <c r="AX91" s="44">
        <v>0</v>
      </c>
      <c r="AY91" s="44">
        <v>0</v>
      </c>
      <c r="AZ91" s="44">
        <v>0</v>
      </c>
      <c r="BA91" s="44">
        <v>0</v>
      </c>
      <c r="BB91" s="44">
        <v>0.3</v>
      </c>
      <c r="BC91" s="44">
        <v>0</v>
      </c>
      <c r="BD91" s="44">
        <v>2.1</v>
      </c>
      <c r="BE91" s="44">
        <v>0</v>
      </c>
      <c r="BF91" s="44"/>
      <c r="BG91" s="43">
        <f t="shared" si="27"/>
        <v>2.4</v>
      </c>
      <c r="BI91" s="12" t="s">
        <v>17</v>
      </c>
      <c r="BJ91" s="44">
        <v>0.45</v>
      </c>
      <c r="BK91" s="44">
        <v>0</v>
      </c>
      <c r="BL91" s="44">
        <v>0</v>
      </c>
      <c r="BM91" s="44">
        <v>0</v>
      </c>
      <c r="BN91" s="44">
        <v>0</v>
      </c>
      <c r="BO91" s="44">
        <v>0</v>
      </c>
      <c r="BP91" s="44">
        <v>1.1000000000000001</v>
      </c>
      <c r="BQ91" s="44">
        <v>0</v>
      </c>
      <c r="BR91" s="44"/>
      <c r="BS91" s="43">
        <v>1.55</v>
      </c>
      <c r="BU91" s="12" t="s">
        <v>17</v>
      </c>
      <c r="BV91" s="44">
        <v>0</v>
      </c>
      <c r="BW91" s="44">
        <v>0</v>
      </c>
      <c r="BX91" s="44">
        <v>0</v>
      </c>
      <c r="BY91" s="44">
        <v>0</v>
      </c>
      <c r="BZ91" s="44">
        <v>0.3</v>
      </c>
      <c r="CA91" s="44">
        <v>0</v>
      </c>
      <c r="CB91" s="44">
        <v>0</v>
      </c>
      <c r="CC91" s="44">
        <v>0</v>
      </c>
      <c r="CD91" s="44">
        <v>0</v>
      </c>
      <c r="CE91" s="43">
        <f t="shared" si="24"/>
        <v>0.3</v>
      </c>
      <c r="CG91" s="12" t="s">
        <v>17</v>
      </c>
      <c r="CH91" s="44">
        <v>0.5</v>
      </c>
      <c r="CI91" s="44">
        <v>0</v>
      </c>
      <c r="CJ91" s="44">
        <v>0</v>
      </c>
      <c r="CK91" s="44">
        <v>0</v>
      </c>
      <c r="CL91" s="44">
        <v>0</v>
      </c>
      <c r="CM91" s="44">
        <v>0</v>
      </c>
      <c r="CN91" s="44">
        <v>0</v>
      </c>
      <c r="CO91" s="44">
        <v>0.84025000000000005</v>
      </c>
      <c r="CP91" s="44">
        <v>0</v>
      </c>
      <c r="CQ91" s="43">
        <f t="shared" si="25"/>
        <v>1.3402500000000002</v>
      </c>
    </row>
    <row r="92" spans="1:95" ht="12.6" customHeight="1">
      <c r="A92" s="12" t="s">
        <v>571</v>
      </c>
      <c r="B92" s="44">
        <v>0</v>
      </c>
      <c r="C92" s="44">
        <v>0</v>
      </c>
      <c r="D92" s="44">
        <v>0</v>
      </c>
      <c r="E92" s="44">
        <v>0</v>
      </c>
      <c r="F92" s="44">
        <v>0</v>
      </c>
      <c r="G92" s="44">
        <v>0</v>
      </c>
      <c r="H92" s="44"/>
      <c r="I92" s="44">
        <v>0</v>
      </c>
      <c r="J92" s="44">
        <v>12.3</v>
      </c>
      <c r="K92" s="43">
        <v>12.3</v>
      </c>
      <c r="M92" s="12" t="s">
        <v>571</v>
      </c>
      <c r="N92" s="44">
        <v>0</v>
      </c>
      <c r="O92" s="44">
        <v>0</v>
      </c>
      <c r="P92" s="44">
        <v>0</v>
      </c>
      <c r="Q92" s="44">
        <v>0.7</v>
      </c>
      <c r="R92" s="44">
        <v>0</v>
      </c>
      <c r="S92" s="44">
        <v>0</v>
      </c>
      <c r="T92" s="44"/>
      <c r="U92" s="44">
        <v>0</v>
      </c>
      <c r="V92" s="44">
        <v>17.8</v>
      </c>
      <c r="W92" s="43">
        <v>18.5</v>
      </c>
      <c r="Y92" s="12" t="s">
        <v>571</v>
      </c>
      <c r="Z92" s="44">
        <v>0</v>
      </c>
      <c r="AA92" s="44">
        <v>0</v>
      </c>
      <c r="AB92" s="44">
        <v>0</v>
      </c>
      <c r="AC92" s="44">
        <v>0.2</v>
      </c>
      <c r="AD92" s="44">
        <v>0</v>
      </c>
      <c r="AE92" s="44">
        <v>0</v>
      </c>
      <c r="AF92" s="44">
        <v>0</v>
      </c>
      <c r="AG92" s="44">
        <v>0</v>
      </c>
      <c r="AH92" s="44">
        <v>12.9</v>
      </c>
      <c r="AI92" s="43">
        <f t="shared" si="23"/>
        <v>13.1</v>
      </c>
      <c r="AK92" s="12" t="s">
        <v>571</v>
      </c>
      <c r="AL92" s="44">
        <v>0</v>
      </c>
      <c r="AM92" s="44">
        <v>0</v>
      </c>
      <c r="AN92" s="44">
        <v>0</v>
      </c>
      <c r="AO92" s="44"/>
      <c r="AP92" s="44">
        <v>0</v>
      </c>
      <c r="AQ92" s="44">
        <v>0</v>
      </c>
      <c r="AR92" s="44">
        <v>0</v>
      </c>
      <c r="AS92" s="44">
        <v>0</v>
      </c>
      <c r="AT92" s="44">
        <v>10.6</v>
      </c>
      <c r="AU92" s="43">
        <f t="shared" si="26"/>
        <v>10.6</v>
      </c>
      <c r="AW92" s="12" t="s">
        <v>571</v>
      </c>
      <c r="AX92" s="44">
        <v>0</v>
      </c>
      <c r="AY92" s="44">
        <v>0</v>
      </c>
      <c r="AZ92" s="44">
        <v>0</v>
      </c>
      <c r="BA92" s="44"/>
      <c r="BB92" s="44">
        <v>0</v>
      </c>
      <c r="BC92" s="44">
        <v>0</v>
      </c>
      <c r="BD92" s="44">
        <v>0</v>
      </c>
      <c r="BE92" s="44">
        <v>0</v>
      </c>
      <c r="BF92" s="44">
        <v>13.9</v>
      </c>
      <c r="BG92" s="43">
        <f t="shared" si="27"/>
        <v>13.9</v>
      </c>
      <c r="BI92" s="12" t="s">
        <v>571</v>
      </c>
      <c r="BJ92" s="44">
        <v>0</v>
      </c>
      <c r="BK92" s="44">
        <v>0</v>
      </c>
      <c r="BL92" s="44">
        <v>0</v>
      </c>
      <c r="BM92" s="44"/>
      <c r="BN92" s="44">
        <v>0</v>
      </c>
      <c r="BO92" s="44">
        <v>0</v>
      </c>
      <c r="BP92" s="44">
        <v>0</v>
      </c>
      <c r="BQ92" s="44">
        <v>0</v>
      </c>
      <c r="BR92" s="44">
        <v>11.6</v>
      </c>
      <c r="BS92" s="43">
        <f t="shared" si="28"/>
        <v>11.6</v>
      </c>
      <c r="BU92" s="12" t="s">
        <v>571</v>
      </c>
      <c r="BV92" s="44">
        <v>0</v>
      </c>
      <c r="BW92" s="44">
        <v>0</v>
      </c>
      <c r="BX92" s="44">
        <v>0</v>
      </c>
      <c r="BY92" s="44">
        <v>0.2</v>
      </c>
      <c r="BZ92" s="44">
        <v>0</v>
      </c>
      <c r="CA92" s="44">
        <v>0</v>
      </c>
      <c r="CB92" s="44">
        <v>0</v>
      </c>
      <c r="CC92" s="44">
        <v>0</v>
      </c>
      <c r="CD92" s="44">
        <v>7.9</v>
      </c>
      <c r="CE92" s="43">
        <f t="shared" si="24"/>
        <v>8.1</v>
      </c>
      <c r="CG92" s="12" t="s">
        <v>571</v>
      </c>
      <c r="CH92" s="44">
        <v>0</v>
      </c>
      <c r="CI92" s="44">
        <v>0</v>
      </c>
      <c r="CJ92" s="44">
        <v>0</v>
      </c>
      <c r="CK92" s="44">
        <v>0</v>
      </c>
      <c r="CL92" s="44">
        <v>0</v>
      </c>
      <c r="CM92" s="44">
        <v>0</v>
      </c>
      <c r="CN92" s="44">
        <v>0</v>
      </c>
      <c r="CO92" s="44">
        <v>0</v>
      </c>
      <c r="CP92" s="44">
        <v>6.5</v>
      </c>
      <c r="CQ92" s="43">
        <f t="shared" si="25"/>
        <v>6.5</v>
      </c>
    </row>
    <row r="93" spans="1:95" ht="12.6" customHeight="1">
      <c r="A93" s="12" t="s">
        <v>18</v>
      </c>
      <c r="B93" s="44">
        <v>0.5</v>
      </c>
      <c r="C93" s="44">
        <v>0</v>
      </c>
      <c r="D93" s="44">
        <v>0</v>
      </c>
      <c r="E93" s="44">
        <v>0</v>
      </c>
      <c r="F93" s="44">
        <v>0</v>
      </c>
      <c r="G93" s="44">
        <v>0</v>
      </c>
      <c r="H93" s="44">
        <v>0</v>
      </c>
      <c r="I93" s="44">
        <v>0</v>
      </c>
      <c r="J93" s="44">
        <v>0</v>
      </c>
      <c r="K93" s="43">
        <v>0.5</v>
      </c>
      <c r="M93" s="12" t="s">
        <v>18</v>
      </c>
      <c r="N93" s="44">
        <v>0</v>
      </c>
      <c r="O93" s="44">
        <v>0</v>
      </c>
      <c r="P93" s="44">
        <v>0</v>
      </c>
      <c r="Q93" s="44">
        <v>0</v>
      </c>
      <c r="R93" s="44">
        <v>0</v>
      </c>
      <c r="S93" s="44">
        <v>0</v>
      </c>
      <c r="T93" s="44">
        <v>0</v>
      </c>
      <c r="U93" s="44">
        <v>0</v>
      </c>
      <c r="V93" s="44">
        <v>0</v>
      </c>
      <c r="W93" s="43">
        <v>0</v>
      </c>
      <c r="Y93" s="12" t="s">
        <v>18</v>
      </c>
      <c r="Z93" s="44">
        <v>0</v>
      </c>
      <c r="AA93" s="44">
        <v>0.3</v>
      </c>
      <c r="AB93" s="44">
        <v>0</v>
      </c>
      <c r="AC93" s="44">
        <v>0</v>
      </c>
      <c r="AD93" s="44">
        <v>0</v>
      </c>
      <c r="AE93" s="44">
        <v>0</v>
      </c>
      <c r="AF93" s="44">
        <v>0</v>
      </c>
      <c r="AG93" s="44">
        <v>0</v>
      </c>
      <c r="AH93" s="44">
        <v>0</v>
      </c>
      <c r="AI93" s="43">
        <f t="shared" si="23"/>
        <v>0.3</v>
      </c>
      <c r="AK93" s="12" t="s">
        <v>18</v>
      </c>
      <c r="AL93" s="44">
        <v>0</v>
      </c>
      <c r="AM93" s="44">
        <v>0</v>
      </c>
      <c r="AN93" s="44">
        <v>0</v>
      </c>
      <c r="AO93" s="44">
        <v>0</v>
      </c>
      <c r="AP93" s="44">
        <v>0.4</v>
      </c>
      <c r="AQ93" s="44">
        <v>0</v>
      </c>
      <c r="AR93" s="44">
        <v>0</v>
      </c>
      <c r="AS93" s="44">
        <v>0</v>
      </c>
      <c r="AT93" s="44">
        <v>0</v>
      </c>
      <c r="AU93" s="43">
        <f t="shared" si="26"/>
        <v>0.4</v>
      </c>
      <c r="AW93" s="12" t="s">
        <v>18</v>
      </c>
      <c r="AX93" s="44">
        <v>0</v>
      </c>
      <c r="AY93" s="44">
        <v>0</v>
      </c>
      <c r="AZ93" s="44">
        <v>0</v>
      </c>
      <c r="BA93" s="44">
        <v>0</v>
      </c>
      <c r="BB93" s="44">
        <v>0</v>
      </c>
      <c r="BC93" s="44">
        <v>0</v>
      </c>
      <c r="BD93" s="44">
        <v>0</v>
      </c>
      <c r="BE93" s="44">
        <v>0</v>
      </c>
      <c r="BF93" s="44">
        <v>0</v>
      </c>
      <c r="BG93" s="43">
        <f t="shared" si="27"/>
        <v>0</v>
      </c>
      <c r="BI93" s="12" t="s">
        <v>18</v>
      </c>
      <c r="BJ93" s="44">
        <v>0</v>
      </c>
      <c r="BK93" s="44">
        <v>0</v>
      </c>
      <c r="BL93" s="44">
        <v>0</v>
      </c>
      <c r="BM93" s="44">
        <v>0</v>
      </c>
      <c r="BN93" s="44">
        <v>0</v>
      </c>
      <c r="BO93" s="44">
        <v>0</v>
      </c>
      <c r="BP93" s="44">
        <v>0</v>
      </c>
      <c r="BQ93" s="44">
        <v>0</v>
      </c>
      <c r="BR93" s="44">
        <v>0</v>
      </c>
      <c r="BS93" s="43">
        <f t="shared" si="28"/>
        <v>0</v>
      </c>
      <c r="BU93" s="12" t="s">
        <v>18</v>
      </c>
      <c r="BV93" s="44">
        <v>0</v>
      </c>
      <c r="BW93" s="44">
        <v>0</v>
      </c>
      <c r="BX93" s="44">
        <v>0</v>
      </c>
      <c r="BY93" s="44">
        <v>0</v>
      </c>
      <c r="BZ93" s="44">
        <v>0</v>
      </c>
      <c r="CA93" s="44">
        <v>0</v>
      </c>
      <c r="CB93" s="44">
        <v>0</v>
      </c>
      <c r="CC93" s="44">
        <v>0.9</v>
      </c>
      <c r="CD93" s="44">
        <v>0</v>
      </c>
      <c r="CE93" s="43">
        <f t="shared" si="24"/>
        <v>0.9</v>
      </c>
      <c r="CG93" s="12" t="s">
        <v>18</v>
      </c>
      <c r="CH93" s="44">
        <v>0</v>
      </c>
      <c r="CI93" s="44">
        <v>0.20660000000000001</v>
      </c>
      <c r="CJ93" s="44">
        <v>0</v>
      </c>
      <c r="CK93" s="44">
        <v>0</v>
      </c>
      <c r="CL93" s="44">
        <v>0</v>
      </c>
      <c r="CM93" s="44">
        <v>0</v>
      </c>
      <c r="CN93" s="44">
        <v>0</v>
      </c>
      <c r="CO93" s="44">
        <v>0</v>
      </c>
      <c r="CP93" s="44">
        <v>0</v>
      </c>
      <c r="CQ93" s="43">
        <f t="shared" si="25"/>
        <v>0.20660000000000001</v>
      </c>
    </row>
    <row r="94" spans="1:95" ht="12.6" customHeight="1">
      <c r="A94" s="12" t="s">
        <v>19</v>
      </c>
      <c r="B94" s="44">
        <v>1</v>
      </c>
      <c r="C94" s="44">
        <v>0</v>
      </c>
      <c r="D94" s="44">
        <v>0</v>
      </c>
      <c r="E94" s="44">
        <v>0</v>
      </c>
      <c r="F94" s="44">
        <v>2.2999999999999998</v>
      </c>
      <c r="G94" s="44">
        <v>0</v>
      </c>
      <c r="H94" s="44">
        <v>0.5</v>
      </c>
      <c r="I94" s="44">
        <v>0</v>
      </c>
      <c r="J94" s="44">
        <v>0</v>
      </c>
      <c r="K94" s="43">
        <v>3.8</v>
      </c>
      <c r="M94" s="12" t="s">
        <v>19</v>
      </c>
      <c r="N94" s="44">
        <v>0</v>
      </c>
      <c r="O94" s="44">
        <v>0</v>
      </c>
      <c r="P94" s="44">
        <v>0</v>
      </c>
      <c r="Q94" s="44">
        <v>0</v>
      </c>
      <c r="R94" s="44">
        <v>0</v>
      </c>
      <c r="S94" s="44">
        <v>0</v>
      </c>
      <c r="T94" s="44">
        <v>0</v>
      </c>
      <c r="U94" s="44">
        <v>0</v>
      </c>
      <c r="V94" s="44">
        <v>0</v>
      </c>
      <c r="W94" s="43">
        <v>0</v>
      </c>
      <c r="Y94" s="12" t="s">
        <v>19</v>
      </c>
      <c r="Z94" s="44">
        <v>0</v>
      </c>
      <c r="AA94" s="44">
        <v>0</v>
      </c>
      <c r="AB94" s="44">
        <v>0</v>
      </c>
      <c r="AC94" s="44">
        <v>0</v>
      </c>
      <c r="AD94" s="44">
        <v>1.5</v>
      </c>
      <c r="AE94" s="44">
        <v>0</v>
      </c>
      <c r="AF94" s="44">
        <v>0.6</v>
      </c>
      <c r="AG94" s="44">
        <v>0</v>
      </c>
      <c r="AH94" s="44">
        <v>0</v>
      </c>
      <c r="AI94" s="43">
        <f t="shared" si="23"/>
        <v>2.1</v>
      </c>
      <c r="AK94" s="12" t="s">
        <v>19</v>
      </c>
      <c r="AL94" s="44">
        <v>0</v>
      </c>
      <c r="AM94" s="44">
        <v>0</v>
      </c>
      <c r="AN94" s="44">
        <v>0</v>
      </c>
      <c r="AO94" s="44">
        <v>0</v>
      </c>
      <c r="AP94" s="44">
        <v>0.7</v>
      </c>
      <c r="AQ94" s="44">
        <v>0</v>
      </c>
      <c r="AR94" s="44">
        <v>0</v>
      </c>
      <c r="AS94" s="44">
        <v>0</v>
      </c>
      <c r="AT94" s="44">
        <v>0</v>
      </c>
      <c r="AU94" s="43">
        <f t="shared" si="26"/>
        <v>0.7</v>
      </c>
      <c r="AW94" s="12" t="s">
        <v>19</v>
      </c>
      <c r="AX94" s="44">
        <v>0</v>
      </c>
      <c r="AY94" s="44">
        <v>0</v>
      </c>
      <c r="AZ94" s="44">
        <v>0</v>
      </c>
      <c r="BA94" s="44">
        <v>0</v>
      </c>
      <c r="BB94" s="44">
        <v>2</v>
      </c>
      <c r="BC94" s="44">
        <v>0</v>
      </c>
      <c r="BD94" s="44">
        <v>0</v>
      </c>
      <c r="BE94" s="44">
        <v>0</v>
      </c>
      <c r="BF94" s="44">
        <v>0</v>
      </c>
      <c r="BG94" s="43">
        <f t="shared" si="27"/>
        <v>2</v>
      </c>
      <c r="BI94" s="12" t="s">
        <v>19</v>
      </c>
      <c r="BJ94" s="44">
        <v>0</v>
      </c>
      <c r="BK94" s="44">
        <v>0</v>
      </c>
      <c r="BL94" s="44">
        <v>0</v>
      </c>
      <c r="BM94" s="44">
        <v>0</v>
      </c>
      <c r="BN94" s="44"/>
      <c r="BO94" s="44">
        <v>0</v>
      </c>
      <c r="BP94" s="44">
        <v>0</v>
      </c>
      <c r="BQ94" s="44">
        <v>0</v>
      </c>
      <c r="BR94" s="44">
        <v>0</v>
      </c>
      <c r="BS94" s="43">
        <f t="shared" si="28"/>
        <v>0</v>
      </c>
      <c r="BU94" s="12" t="s">
        <v>19</v>
      </c>
      <c r="BV94" s="44">
        <v>0</v>
      </c>
      <c r="BW94" s="44">
        <v>0</v>
      </c>
      <c r="BX94" s="44">
        <v>0</v>
      </c>
      <c r="BY94" s="44">
        <v>0</v>
      </c>
      <c r="BZ94" s="44"/>
      <c r="CA94" s="44">
        <v>0</v>
      </c>
      <c r="CB94" s="44">
        <v>0</v>
      </c>
      <c r="CC94" s="44">
        <v>0</v>
      </c>
      <c r="CD94" s="44">
        <v>0</v>
      </c>
      <c r="CE94" s="43">
        <f t="shared" si="24"/>
        <v>0</v>
      </c>
      <c r="CG94" s="12" t="s">
        <v>19</v>
      </c>
      <c r="CH94" s="44">
        <v>1.6805000000000001</v>
      </c>
      <c r="CI94" s="44">
        <v>0</v>
      </c>
      <c r="CJ94" s="44">
        <v>0.14249999999999999</v>
      </c>
      <c r="CK94" s="44">
        <v>0</v>
      </c>
      <c r="CL94" s="44">
        <v>0.73</v>
      </c>
      <c r="CM94" s="44">
        <v>0</v>
      </c>
      <c r="CN94" s="44">
        <v>0</v>
      </c>
      <c r="CO94" s="44">
        <v>0.54949999999999999</v>
      </c>
      <c r="CP94" s="44">
        <v>0</v>
      </c>
      <c r="CQ94" s="43">
        <f t="shared" si="25"/>
        <v>3.1025</v>
      </c>
    </row>
    <row r="95" spans="1:95" ht="12.6" customHeight="1">
      <c r="A95" s="12" t="s">
        <v>564</v>
      </c>
      <c r="B95" s="44">
        <v>0</v>
      </c>
      <c r="C95" s="44">
        <v>0</v>
      </c>
      <c r="D95" s="44">
        <v>0</v>
      </c>
      <c r="E95" s="44">
        <v>0</v>
      </c>
      <c r="F95" s="44">
        <v>0</v>
      </c>
      <c r="G95" s="44">
        <v>0</v>
      </c>
      <c r="H95" s="44">
        <v>0</v>
      </c>
      <c r="I95" s="44">
        <v>0</v>
      </c>
      <c r="J95" s="44">
        <v>0</v>
      </c>
      <c r="K95" s="43">
        <v>0</v>
      </c>
      <c r="M95" s="12" t="s">
        <v>564</v>
      </c>
      <c r="N95" s="44">
        <v>0</v>
      </c>
      <c r="O95" s="44">
        <v>0</v>
      </c>
      <c r="P95" s="44">
        <v>0</v>
      </c>
      <c r="Q95" s="44">
        <v>0</v>
      </c>
      <c r="R95" s="44">
        <v>0</v>
      </c>
      <c r="S95" s="44">
        <v>0</v>
      </c>
      <c r="T95" s="44">
        <v>0</v>
      </c>
      <c r="U95" s="44">
        <v>0</v>
      </c>
      <c r="V95" s="44">
        <v>0</v>
      </c>
      <c r="W95" s="43">
        <v>0</v>
      </c>
      <c r="Y95" s="12" t="s">
        <v>564</v>
      </c>
      <c r="Z95" s="44">
        <v>0</v>
      </c>
      <c r="AA95" s="44">
        <v>0</v>
      </c>
      <c r="AB95" s="44">
        <v>0</v>
      </c>
      <c r="AC95" s="44">
        <v>0</v>
      </c>
      <c r="AD95" s="44">
        <v>0</v>
      </c>
      <c r="AE95" s="44">
        <v>0</v>
      </c>
      <c r="AF95" s="44">
        <v>0</v>
      </c>
      <c r="AG95" s="44">
        <v>0</v>
      </c>
      <c r="AH95" s="44">
        <v>0</v>
      </c>
      <c r="AI95" s="43">
        <f t="shared" si="23"/>
        <v>0</v>
      </c>
      <c r="AK95" s="12" t="s">
        <v>564</v>
      </c>
      <c r="AL95" s="44">
        <v>0</v>
      </c>
      <c r="AM95" s="44">
        <v>0</v>
      </c>
      <c r="AN95" s="44">
        <v>0</v>
      </c>
      <c r="AO95" s="44">
        <v>0</v>
      </c>
      <c r="AP95" s="44">
        <v>0</v>
      </c>
      <c r="AQ95" s="44">
        <v>0</v>
      </c>
      <c r="AR95" s="44">
        <v>0</v>
      </c>
      <c r="AS95" s="44">
        <v>0</v>
      </c>
      <c r="AT95" s="44">
        <v>0</v>
      </c>
      <c r="AU95" s="43">
        <f t="shared" si="26"/>
        <v>0</v>
      </c>
      <c r="AW95" s="12" t="s">
        <v>564</v>
      </c>
      <c r="AX95" s="44">
        <v>0</v>
      </c>
      <c r="AY95" s="44">
        <v>0</v>
      </c>
      <c r="AZ95" s="44">
        <v>0</v>
      </c>
      <c r="BA95" s="44">
        <v>0</v>
      </c>
      <c r="BB95" s="44">
        <v>0</v>
      </c>
      <c r="BC95" s="44">
        <v>0</v>
      </c>
      <c r="BD95" s="44">
        <v>0</v>
      </c>
      <c r="BE95" s="44">
        <v>0</v>
      </c>
      <c r="BF95" s="44">
        <v>0</v>
      </c>
      <c r="BG95" s="43">
        <f t="shared" si="27"/>
        <v>0</v>
      </c>
      <c r="BI95" s="12" t="s">
        <v>564</v>
      </c>
      <c r="BJ95" s="44">
        <v>0</v>
      </c>
      <c r="BK95" s="44">
        <v>0</v>
      </c>
      <c r="BL95" s="44">
        <v>0</v>
      </c>
      <c r="BM95" s="44">
        <v>0</v>
      </c>
      <c r="BN95" s="44">
        <v>0</v>
      </c>
      <c r="BO95" s="44">
        <v>0</v>
      </c>
      <c r="BP95" s="44">
        <v>0</v>
      </c>
      <c r="BQ95" s="44">
        <v>0</v>
      </c>
      <c r="BR95" s="44">
        <v>0</v>
      </c>
      <c r="BS95" s="43">
        <f t="shared" si="28"/>
        <v>0</v>
      </c>
      <c r="BU95" s="12" t="s">
        <v>564</v>
      </c>
      <c r="BV95" s="44">
        <v>0</v>
      </c>
      <c r="BW95" s="44">
        <v>0</v>
      </c>
      <c r="BX95" s="44">
        <v>0</v>
      </c>
      <c r="BY95" s="44">
        <v>0</v>
      </c>
      <c r="BZ95" s="44">
        <v>0</v>
      </c>
      <c r="CA95" s="44">
        <v>0</v>
      </c>
      <c r="CB95" s="44">
        <v>0</v>
      </c>
      <c r="CC95" s="44">
        <v>0</v>
      </c>
      <c r="CD95" s="44">
        <v>0</v>
      </c>
      <c r="CE95" s="43">
        <f t="shared" si="24"/>
        <v>0</v>
      </c>
      <c r="CG95" s="12" t="s">
        <v>564</v>
      </c>
      <c r="CH95" s="44">
        <v>0.14123700000000003</v>
      </c>
      <c r="CI95" s="44">
        <v>0</v>
      </c>
      <c r="CJ95" s="44">
        <v>0</v>
      </c>
      <c r="CK95" s="44">
        <v>0</v>
      </c>
      <c r="CL95" s="44">
        <v>0</v>
      </c>
      <c r="CM95" s="44">
        <v>0</v>
      </c>
      <c r="CN95" s="44">
        <v>0</v>
      </c>
      <c r="CO95" s="44">
        <v>0</v>
      </c>
      <c r="CP95" s="44">
        <v>0</v>
      </c>
      <c r="CQ95" s="43">
        <f t="shared" si="25"/>
        <v>0.14123700000000003</v>
      </c>
    </row>
    <row r="96" spans="1:95" ht="12.6" customHeight="1">
      <c r="A96" s="12" t="s">
        <v>20</v>
      </c>
      <c r="B96" s="44">
        <v>0</v>
      </c>
      <c r="C96" s="44">
        <v>0.4</v>
      </c>
      <c r="D96" s="44">
        <v>0.4</v>
      </c>
      <c r="E96" s="44">
        <v>1.7</v>
      </c>
      <c r="F96" s="44">
        <v>0.3</v>
      </c>
      <c r="G96" s="44">
        <v>0.4</v>
      </c>
      <c r="H96" s="44">
        <v>5.3</v>
      </c>
      <c r="I96" s="44">
        <v>0</v>
      </c>
      <c r="J96" s="44">
        <v>0</v>
      </c>
      <c r="K96" s="43">
        <v>8.6</v>
      </c>
      <c r="M96" s="12" t="s">
        <v>20</v>
      </c>
      <c r="N96" s="44">
        <v>0.8</v>
      </c>
      <c r="O96" s="44">
        <v>0</v>
      </c>
      <c r="P96" s="44">
        <v>0</v>
      </c>
      <c r="Q96" s="44">
        <v>0.6</v>
      </c>
      <c r="R96" s="44">
        <v>0.4</v>
      </c>
      <c r="S96" s="44">
        <v>0</v>
      </c>
      <c r="T96" s="44">
        <v>8.5</v>
      </c>
      <c r="U96" s="44">
        <v>0</v>
      </c>
      <c r="V96" s="44">
        <v>0</v>
      </c>
      <c r="W96" s="43">
        <v>10.4</v>
      </c>
      <c r="Y96" s="12" t="s">
        <v>20</v>
      </c>
      <c r="Z96" s="44">
        <v>0.9</v>
      </c>
      <c r="AA96" s="44">
        <v>0.3</v>
      </c>
      <c r="AB96" s="44">
        <v>0</v>
      </c>
      <c r="AC96" s="44">
        <v>0.4</v>
      </c>
      <c r="AD96" s="44">
        <v>0</v>
      </c>
      <c r="AE96" s="44">
        <v>0</v>
      </c>
      <c r="AF96" s="44">
        <v>8.5</v>
      </c>
      <c r="AG96" s="44">
        <v>0</v>
      </c>
      <c r="AH96" s="44">
        <v>0</v>
      </c>
      <c r="AI96" s="43">
        <f t="shared" si="23"/>
        <v>10.1</v>
      </c>
      <c r="AK96" s="12" t="s">
        <v>20</v>
      </c>
      <c r="AL96" s="44">
        <v>1.5</v>
      </c>
      <c r="AM96" s="44"/>
      <c r="AN96" s="44">
        <v>0</v>
      </c>
      <c r="AO96" s="44">
        <v>0.5</v>
      </c>
      <c r="AP96" s="44">
        <v>0.3</v>
      </c>
      <c r="AQ96" s="44">
        <v>0</v>
      </c>
      <c r="AR96" s="44">
        <v>5.5</v>
      </c>
      <c r="AS96" s="44">
        <v>0</v>
      </c>
      <c r="AT96" s="44"/>
      <c r="AU96" s="43">
        <f t="shared" si="26"/>
        <v>7.8</v>
      </c>
      <c r="AW96" s="12" t="s">
        <v>20</v>
      </c>
      <c r="AX96" s="44">
        <v>1.9</v>
      </c>
      <c r="AY96" s="44">
        <v>0.8</v>
      </c>
      <c r="AZ96" s="44">
        <v>0</v>
      </c>
      <c r="BA96" s="44">
        <v>1.3</v>
      </c>
      <c r="BB96" s="44">
        <v>0.4</v>
      </c>
      <c r="BC96" s="44">
        <v>0</v>
      </c>
      <c r="BD96" s="44">
        <v>10.6</v>
      </c>
      <c r="BE96" s="44">
        <v>0</v>
      </c>
      <c r="BF96" s="44">
        <v>0.3</v>
      </c>
      <c r="BG96" s="43">
        <f t="shared" si="27"/>
        <v>15.3</v>
      </c>
      <c r="BI96" s="12" t="s">
        <v>20</v>
      </c>
      <c r="BJ96" s="44">
        <v>0.59965391999999995</v>
      </c>
      <c r="BK96" s="44"/>
      <c r="BL96" s="44">
        <v>0</v>
      </c>
      <c r="BM96" s="44">
        <v>0</v>
      </c>
      <c r="BN96" s="44">
        <v>0.4</v>
      </c>
      <c r="BO96" s="44">
        <v>0</v>
      </c>
      <c r="BP96" s="44">
        <v>9.1696935524000001</v>
      </c>
      <c r="BQ96" s="44">
        <v>0</v>
      </c>
      <c r="BR96" s="44"/>
      <c r="BS96" s="43">
        <f>SUM(BJ96:BR96)</f>
        <v>10.1693474724</v>
      </c>
      <c r="BU96" s="12" t="s">
        <v>20</v>
      </c>
      <c r="BV96" s="44">
        <v>0.1</v>
      </c>
      <c r="BW96" s="44">
        <v>0.5611723099999999</v>
      </c>
      <c r="BX96" s="44">
        <v>0</v>
      </c>
      <c r="BY96" s="44">
        <v>0.7</v>
      </c>
      <c r="BZ96" s="44">
        <v>1.3</v>
      </c>
      <c r="CA96" s="44"/>
      <c r="CB96" s="44">
        <v>5.4</v>
      </c>
      <c r="CC96" s="44"/>
      <c r="CD96" s="44">
        <v>0</v>
      </c>
      <c r="CE96" s="43">
        <f t="shared" si="24"/>
        <v>8.0611723099999999</v>
      </c>
      <c r="CG96" s="12" t="s">
        <v>20</v>
      </c>
      <c r="CH96" s="44">
        <v>0.41178720000000008</v>
      </c>
      <c r="CI96" s="44">
        <v>0.5611723099999999</v>
      </c>
      <c r="CJ96" s="44">
        <v>0</v>
      </c>
      <c r="CK96" s="44">
        <v>0.34167964099999998</v>
      </c>
      <c r="CL96" s="44">
        <v>0</v>
      </c>
      <c r="CM96" s="44">
        <v>0.37535329919999999</v>
      </c>
      <c r="CN96" s="44">
        <v>0</v>
      </c>
      <c r="CO96" s="44">
        <v>6.0185525992999995</v>
      </c>
      <c r="CP96" s="44">
        <v>0</v>
      </c>
      <c r="CQ96" s="43">
        <f t="shared" si="25"/>
        <v>7.7085450494999996</v>
      </c>
    </row>
    <row r="97" spans="1:95" ht="12.6" customHeight="1">
      <c r="A97" s="45" t="s">
        <v>60</v>
      </c>
      <c r="B97" s="44">
        <v>0</v>
      </c>
      <c r="C97" s="44">
        <v>0</v>
      </c>
      <c r="D97" s="44">
        <v>0</v>
      </c>
      <c r="E97" s="44">
        <v>0</v>
      </c>
      <c r="F97" s="44">
        <v>0</v>
      </c>
      <c r="G97" s="44">
        <v>0</v>
      </c>
      <c r="H97" s="44">
        <v>0</v>
      </c>
      <c r="I97" s="44">
        <v>0</v>
      </c>
      <c r="J97" s="44">
        <v>0</v>
      </c>
      <c r="K97" s="43">
        <v>0</v>
      </c>
      <c r="M97" s="45" t="s">
        <v>60</v>
      </c>
      <c r="N97" s="44">
        <v>0.5</v>
      </c>
      <c r="O97" s="44">
        <v>0</v>
      </c>
      <c r="P97" s="44">
        <v>0</v>
      </c>
      <c r="Q97" s="44">
        <v>0</v>
      </c>
      <c r="R97" s="44">
        <v>0</v>
      </c>
      <c r="S97" s="44">
        <v>0</v>
      </c>
      <c r="T97" s="44">
        <v>0</v>
      </c>
      <c r="U97" s="44">
        <v>0</v>
      </c>
      <c r="V97" s="44">
        <v>0</v>
      </c>
      <c r="W97" s="43">
        <v>0.5</v>
      </c>
      <c r="Y97" s="45" t="s">
        <v>60</v>
      </c>
      <c r="Z97" s="44">
        <v>0</v>
      </c>
      <c r="AA97" s="44">
        <v>0</v>
      </c>
      <c r="AB97" s="44">
        <v>0</v>
      </c>
      <c r="AC97" s="44">
        <v>0</v>
      </c>
      <c r="AD97" s="44">
        <v>0</v>
      </c>
      <c r="AE97" s="44">
        <v>0</v>
      </c>
      <c r="AF97" s="44">
        <v>0</v>
      </c>
      <c r="AG97" s="44">
        <v>0</v>
      </c>
      <c r="AH97" s="44"/>
      <c r="AI97" s="43">
        <f t="shared" si="23"/>
        <v>0</v>
      </c>
      <c r="AK97" s="45" t="s">
        <v>60</v>
      </c>
      <c r="AL97" s="44">
        <v>1.4</v>
      </c>
      <c r="AM97" s="44">
        <v>0</v>
      </c>
      <c r="AN97" s="44">
        <v>0</v>
      </c>
      <c r="AO97" s="44">
        <v>0</v>
      </c>
      <c r="AP97" s="44">
        <v>0</v>
      </c>
      <c r="AQ97" s="44">
        <v>0</v>
      </c>
      <c r="AR97" s="44"/>
      <c r="AS97" s="44">
        <v>0</v>
      </c>
      <c r="AT97" s="44"/>
      <c r="AU97" s="43">
        <f t="shared" si="26"/>
        <v>1.4</v>
      </c>
      <c r="AW97" s="45" t="s">
        <v>60</v>
      </c>
      <c r="AX97" s="44">
        <v>0.9</v>
      </c>
      <c r="AY97" s="44">
        <v>0</v>
      </c>
      <c r="AZ97" s="44">
        <v>0</v>
      </c>
      <c r="BA97" s="44">
        <v>0</v>
      </c>
      <c r="BB97" s="44">
        <v>0</v>
      </c>
      <c r="BC97" s="44">
        <v>0</v>
      </c>
      <c r="BD97" s="44">
        <v>0</v>
      </c>
      <c r="BE97" s="44">
        <v>0</v>
      </c>
      <c r="BF97" s="44"/>
      <c r="BG97" s="43">
        <f t="shared" si="27"/>
        <v>0.9</v>
      </c>
      <c r="BI97" s="45" t="s">
        <v>60</v>
      </c>
      <c r="BJ97" s="44">
        <v>0.46560000000000001</v>
      </c>
      <c r="BK97" s="44">
        <v>0</v>
      </c>
      <c r="BL97" s="44">
        <v>0</v>
      </c>
      <c r="BM97" s="44">
        <v>0</v>
      </c>
      <c r="BN97" s="44">
        <v>0</v>
      </c>
      <c r="BO97" s="44">
        <v>0</v>
      </c>
      <c r="BP97" s="44">
        <v>0</v>
      </c>
      <c r="BQ97" s="44">
        <v>0</v>
      </c>
      <c r="BR97" s="44"/>
      <c r="BS97" s="43">
        <f t="shared" si="28"/>
        <v>0.46560000000000001</v>
      </c>
      <c r="BU97" s="45" t="s">
        <v>60</v>
      </c>
      <c r="BV97" s="44">
        <v>0</v>
      </c>
      <c r="BW97" s="44">
        <v>0</v>
      </c>
      <c r="BX97" s="44">
        <v>0</v>
      </c>
      <c r="BY97" s="44">
        <v>0</v>
      </c>
      <c r="BZ97" s="44">
        <v>0</v>
      </c>
      <c r="CA97" s="44">
        <v>0</v>
      </c>
      <c r="CB97" s="44">
        <v>0</v>
      </c>
      <c r="CC97" s="44">
        <v>0</v>
      </c>
      <c r="CD97" s="44">
        <v>0</v>
      </c>
      <c r="CE97" s="43">
        <f t="shared" si="24"/>
        <v>0</v>
      </c>
      <c r="CG97" s="45" t="s">
        <v>60</v>
      </c>
      <c r="CH97" s="44">
        <v>0</v>
      </c>
      <c r="CI97" s="44">
        <v>0</v>
      </c>
      <c r="CJ97" s="44">
        <v>0</v>
      </c>
      <c r="CK97" s="44">
        <v>0</v>
      </c>
      <c r="CL97" s="44">
        <v>0</v>
      </c>
      <c r="CM97" s="44">
        <v>0</v>
      </c>
      <c r="CN97" s="44">
        <v>0</v>
      </c>
      <c r="CO97" s="44">
        <v>0</v>
      </c>
      <c r="CP97" s="44">
        <v>0</v>
      </c>
      <c r="CQ97" s="43">
        <f t="shared" si="25"/>
        <v>0</v>
      </c>
    </row>
    <row r="98" spans="1:95" ht="12.6" customHeight="1">
      <c r="A98" s="35" t="s">
        <v>1313</v>
      </c>
      <c r="B98" s="43">
        <v>9</v>
      </c>
      <c r="C98" s="43">
        <v>0.3</v>
      </c>
      <c r="D98" s="43">
        <v>0.5</v>
      </c>
      <c r="E98" s="43">
        <v>0.6</v>
      </c>
      <c r="F98" s="43">
        <v>5</v>
      </c>
      <c r="G98" s="43">
        <v>0.2</v>
      </c>
      <c r="H98" s="43">
        <v>2.5</v>
      </c>
      <c r="I98" s="43">
        <v>0</v>
      </c>
      <c r="J98" s="43">
        <v>12.3</v>
      </c>
      <c r="K98" s="43">
        <f>SUM(B98:J98)</f>
        <v>30.400000000000002</v>
      </c>
      <c r="M98" s="35" t="s">
        <v>1313</v>
      </c>
      <c r="N98" s="43">
        <v>4</v>
      </c>
      <c r="O98" s="43">
        <v>0</v>
      </c>
      <c r="P98" s="43">
        <v>0</v>
      </c>
      <c r="Q98" s="43">
        <v>1.1000000000000001</v>
      </c>
      <c r="R98" s="43">
        <v>1.5</v>
      </c>
      <c r="S98" s="43">
        <v>0.3</v>
      </c>
      <c r="T98" s="43">
        <v>3</v>
      </c>
      <c r="U98" s="43">
        <v>0</v>
      </c>
      <c r="V98" s="43">
        <v>0</v>
      </c>
      <c r="W98" s="43">
        <v>27.6</v>
      </c>
      <c r="Y98" s="35" t="s">
        <v>1313</v>
      </c>
      <c r="Z98" s="43">
        <v>2.5</v>
      </c>
      <c r="AA98" s="43">
        <v>0.3</v>
      </c>
      <c r="AB98" s="43">
        <v>0</v>
      </c>
      <c r="AC98" s="43">
        <v>0.2</v>
      </c>
      <c r="AD98" s="43">
        <v>2.2000000000000002</v>
      </c>
      <c r="AE98" s="43">
        <v>0</v>
      </c>
      <c r="AF98" s="43">
        <v>2.4</v>
      </c>
      <c r="AG98" s="43">
        <v>0</v>
      </c>
      <c r="AH98" s="43">
        <v>13.4</v>
      </c>
      <c r="AI98" s="43">
        <f t="shared" si="23"/>
        <v>21</v>
      </c>
      <c r="AK98" s="35" t="s">
        <v>1313</v>
      </c>
      <c r="AL98" s="43">
        <v>7.5</v>
      </c>
      <c r="AM98" s="43">
        <f t="shared" ref="AM98:AP98" si="29">SUM(AM85:AM94)+AM97</f>
        <v>0</v>
      </c>
      <c r="AN98" s="43">
        <f t="shared" si="29"/>
        <v>0</v>
      </c>
      <c r="AO98" s="43">
        <f t="shared" si="29"/>
        <v>0</v>
      </c>
      <c r="AP98" s="43">
        <f t="shared" si="29"/>
        <v>4</v>
      </c>
      <c r="AQ98" s="43">
        <f t="shared" ref="AQ98:AT98" si="30">SUM(AQ85:AQ94)+AQ97</f>
        <v>0</v>
      </c>
      <c r="AR98" s="43">
        <f t="shared" si="30"/>
        <v>3.8</v>
      </c>
      <c r="AS98" s="43">
        <f t="shared" si="30"/>
        <v>0</v>
      </c>
      <c r="AT98" s="43">
        <f t="shared" si="30"/>
        <v>11.4</v>
      </c>
      <c r="AU98" s="43">
        <v>30.4</v>
      </c>
      <c r="AW98" s="35" t="s">
        <v>1313</v>
      </c>
      <c r="AX98" s="43">
        <v>6.9</v>
      </c>
      <c r="AY98" s="43">
        <f t="shared" ref="AY98:BF98" si="31">SUM(AY85:AY94)+AY97</f>
        <v>0.4</v>
      </c>
      <c r="AZ98" s="43">
        <f t="shared" si="31"/>
        <v>0</v>
      </c>
      <c r="BA98" s="43">
        <f t="shared" si="31"/>
        <v>0</v>
      </c>
      <c r="BB98" s="43">
        <v>5.7</v>
      </c>
      <c r="BC98" s="43">
        <f t="shared" si="31"/>
        <v>0</v>
      </c>
      <c r="BD98" s="43">
        <f t="shared" si="31"/>
        <v>3.4</v>
      </c>
      <c r="BE98" s="43">
        <f t="shared" si="31"/>
        <v>0</v>
      </c>
      <c r="BF98" s="43">
        <f t="shared" si="31"/>
        <v>13.9</v>
      </c>
      <c r="BG98" s="43">
        <v>30.4</v>
      </c>
      <c r="BI98" s="35" t="s">
        <v>1313</v>
      </c>
      <c r="BJ98" s="43">
        <v>5.3</v>
      </c>
      <c r="BK98" s="43">
        <f t="shared" ref="BK98:BN98" si="32">BK99-BK96-BK95</f>
        <v>0</v>
      </c>
      <c r="BL98" s="43">
        <f t="shared" si="32"/>
        <v>0</v>
      </c>
      <c r="BM98" s="43">
        <f t="shared" si="32"/>
        <v>0</v>
      </c>
      <c r="BN98" s="43">
        <f t="shared" si="32"/>
        <v>1.4380090000000001</v>
      </c>
      <c r="BO98" s="43">
        <v>0.5</v>
      </c>
      <c r="BP98" s="43">
        <f t="shared" ref="BP98:BR98" si="33">BP99-BP96-BP95</f>
        <v>4.1454430000000002</v>
      </c>
      <c r="BQ98" s="43">
        <f t="shared" si="33"/>
        <v>0</v>
      </c>
      <c r="BR98" s="43">
        <f t="shared" si="33"/>
        <v>11.6</v>
      </c>
      <c r="BS98" s="43">
        <f t="shared" si="28"/>
        <v>22.983452</v>
      </c>
      <c r="BU98" s="35" t="s">
        <v>1313</v>
      </c>
      <c r="BV98" s="43">
        <v>5.4</v>
      </c>
      <c r="BW98" s="43">
        <f t="shared" ref="BW98:CD98" si="34">BW99-BW96-BW95</f>
        <v>0</v>
      </c>
      <c r="BX98" s="43">
        <f t="shared" si="34"/>
        <v>0</v>
      </c>
      <c r="BY98" s="43">
        <f t="shared" si="34"/>
        <v>0.19999999999999996</v>
      </c>
      <c r="BZ98" s="43">
        <f t="shared" si="34"/>
        <v>1.4000000000000001</v>
      </c>
      <c r="CA98" s="43">
        <v>0.5</v>
      </c>
      <c r="CB98" s="43">
        <f t="shared" si="34"/>
        <v>1.4000000000000004</v>
      </c>
      <c r="CC98" s="43">
        <f t="shared" si="34"/>
        <v>0.9</v>
      </c>
      <c r="CD98" s="43">
        <f t="shared" si="34"/>
        <v>7.9</v>
      </c>
      <c r="CE98" s="43">
        <f t="shared" si="24"/>
        <v>17.700000000000003</v>
      </c>
      <c r="CF98" s="57"/>
      <c r="CG98" s="35" t="s">
        <v>1313</v>
      </c>
      <c r="CH98" s="43">
        <f>CH99-CH96-CH95</f>
        <v>6.8402399999999997</v>
      </c>
      <c r="CI98" s="43">
        <f t="shared" ref="CI98:CP98" si="35">CI99-CI96-CI95</f>
        <v>0.20660000000000001</v>
      </c>
      <c r="CJ98" s="43">
        <f t="shared" si="35"/>
        <v>0.14249999999999999</v>
      </c>
      <c r="CK98" s="43">
        <f t="shared" si="35"/>
        <v>0</v>
      </c>
      <c r="CL98" s="43">
        <f t="shared" si="35"/>
        <v>2.5594000000000001</v>
      </c>
      <c r="CM98" s="43">
        <f t="shared" si="35"/>
        <v>0</v>
      </c>
      <c r="CN98" s="43">
        <f t="shared" si="35"/>
        <v>0.13631000000000001</v>
      </c>
      <c r="CO98" s="43">
        <f t="shared" si="35"/>
        <v>1.8346640000000001</v>
      </c>
      <c r="CP98" s="43">
        <f t="shared" si="35"/>
        <v>6.5</v>
      </c>
      <c r="CQ98" s="43">
        <f t="shared" si="25"/>
        <v>18.219714</v>
      </c>
    </row>
    <row r="99" spans="1:95" ht="12.6" customHeight="1">
      <c r="A99" s="35" t="s">
        <v>44</v>
      </c>
      <c r="B99" s="43">
        <v>9</v>
      </c>
      <c r="C99" s="43">
        <v>0.7</v>
      </c>
      <c r="D99" s="43">
        <v>0.9</v>
      </c>
      <c r="E99" s="43">
        <v>2.2999999999999998</v>
      </c>
      <c r="F99" s="43">
        <v>5.3</v>
      </c>
      <c r="G99" s="43">
        <v>0.6</v>
      </c>
      <c r="H99" s="43">
        <v>7.9</v>
      </c>
      <c r="I99" s="43">
        <v>0</v>
      </c>
      <c r="J99" s="43">
        <v>12.3</v>
      </c>
      <c r="K99" s="43">
        <v>39.1</v>
      </c>
      <c r="M99" s="35" t="s">
        <v>44</v>
      </c>
      <c r="N99" s="43">
        <v>4.8</v>
      </c>
      <c r="O99" s="43">
        <v>0</v>
      </c>
      <c r="P99" s="43">
        <v>0</v>
      </c>
      <c r="Q99" s="43">
        <v>1.7</v>
      </c>
      <c r="R99" s="43">
        <v>1.9</v>
      </c>
      <c r="S99" s="43">
        <v>0.3</v>
      </c>
      <c r="T99" s="43">
        <v>11.5</v>
      </c>
      <c r="U99" s="43">
        <v>0</v>
      </c>
      <c r="V99" s="43">
        <v>0</v>
      </c>
      <c r="W99" s="43">
        <v>38</v>
      </c>
      <c r="Y99" s="35" t="s">
        <v>44</v>
      </c>
      <c r="Z99" s="43">
        <v>3.3</v>
      </c>
      <c r="AA99" s="43">
        <v>0.6</v>
      </c>
      <c r="AB99" s="43">
        <v>0</v>
      </c>
      <c r="AC99" s="43">
        <v>0.7</v>
      </c>
      <c r="AD99" s="43">
        <v>2.2000000000000002</v>
      </c>
      <c r="AE99" s="43">
        <v>0</v>
      </c>
      <c r="AF99" s="43">
        <v>10.9</v>
      </c>
      <c r="AG99" s="43">
        <v>0</v>
      </c>
      <c r="AH99" s="43">
        <v>13.4</v>
      </c>
      <c r="AI99" s="43">
        <f t="shared" si="23"/>
        <v>31.1</v>
      </c>
      <c r="AK99" s="35" t="s">
        <v>44</v>
      </c>
      <c r="AL99" s="43">
        <v>9</v>
      </c>
      <c r="AM99" s="43">
        <f t="shared" ref="AM99:AP99" si="36">SUM(AM85:AM97)</f>
        <v>0</v>
      </c>
      <c r="AN99" s="43">
        <f t="shared" si="36"/>
        <v>0</v>
      </c>
      <c r="AO99" s="43">
        <f t="shared" si="36"/>
        <v>0.5</v>
      </c>
      <c r="AP99" s="43">
        <f t="shared" si="36"/>
        <v>4.3</v>
      </c>
      <c r="AQ99" s="43">
        <f t="shared" ref="AQ99:AR99" si="37">SUM(AQ85:AQ97)</f>
        <v>0</v>
      </c>
      <c r="AR99" s="43">
        <f t="shared" si="37"/>
        <v>9.3000000000000007</v>
      </c>
      <c r="AS99" s="43">
        <f t="shared" ref="AS99:AT99" si="38">SUM(AS85:AS97)</f>
        <v>0</v>
      </c>
      <c r="AT99" s="43">
        <f t="shared" si="38"/>
        <v>11.4</v>
      </c>
      <c r="AU99" s="43">
        <f>SUM(AL99:AT99)</f>
        <v>34.5</v>
      </c>
      <c r="AW99" s="35" t="s">
        <v>44</v>
      </c>
      <c r="AX99" s="43">
        <v>8.8000000000000007</v>
      </c>
      <c r="AY99" s="43">
        <f t="shared" ref="AY99:BF99" si="39">SUM(AY85:AY97)</f>
        <v>1.2000000000000002</v>
      </c>
      <c r="AZ99" s="43">
        <f t="shared" si="39"/>
        <v>0</v>
      </c>
      <c r="BA99" s="43">
        <f t="shared" si="39"/>
        <v>1.3</v>
      </c>
      <c r="BB99" s="43">
        <v>6.1</v>
      </c>
      <c r="BC99" s="43">
        <f t="shared" si="39"/>
        <v>0</v>
      </c>
      <c r="BD99" s="43">
        <v>14.1</v>
      </c>
      <c r="BE99" s="43">
        <f t="shared" si="39"/>
        <v>0</v>
      </c>
      <c r="BF99" s="43">
        <f t="shared" si="39"/>
        <v>14.200000000000001</v>
      </c>
      <c r="BG99" s="43">
        <f>SUM(AX99:BF99)</f>
        <v>45.7</v>
      </c>
      <c r="BI99" s="35" t="s">
        <v>44</v>
      </c>
      <c r="BJ99" s="43">
        <v>4.7</v>
      </c>
      <c r="BK99" s="43">
        <f t="shared" ref="BK99:BN99" si="40">SUM(BK85:BK97)</f>
        <v>0</v>
      </c>
      <c r="BL99" s="43">
        <f t="shared" si="40"/>
        <v>0</v>
      </c>
      <c r="BM99" s="43">
        <f t="shared" si="40"/>
        <v>0</v>
      </c>
      <c r="BN99" s="43">
        <f t="shared" si="40"/>
        <v>1.838009</v>
      </c>
      <c r="BO99" s="43">
        <v>0.5</v>
      </c>
      <c r="BP99" s="43">
        <f t="shared" ref="BP99:BR99" si="41">SUM(BP85:BP97)</f>
        <v>13.3151365524</v>
      </c>
      <c r="BQ99" s="43">
        <f t="shared" si="41"/>
        <v>0</v>
      </c>
      <c r="BR99" s="43">
        <f t="shared" si="41"/>
        <v>11.6</v>
      </c>
      <c r="BS99" s="43">
        <f t="shared" si="28"/>
        <v>31.953145552400002</v>
      </c>
      <c r="BU99" s="35" t="s">
        <v>44</v>
      </c>
      <c r="BV99" s="43">
        <v>5.5</v>
      </c>
      <c r="BW99" s="43">
        <f t="shared" ref="BW99:CD99" si="42">SUM(BW85:BW97)</f>
        <v>0.5611723099999999</v>
      </c>
      <c r="BX99" s="43">
        <f t="shared" si="42"/>
        <v>0</v>
      </c>
      <c r="BY99" s="43">
        <f t="shared" si="42"/>
        <v>0.89999999999999991</v>
      </c>
      <c r="BZ99" s="43">
        <f t="shared" si="42"/>
        <v>2.7</v>
      </c>
      <c r="CA99" s="43">
        <v>0.5</v>
      </c>
      <c r="CB99" s="43">
        <f t="shared" si="42"/>
        <v>6.8000000000000007</v>
      </c>
      <c r="CC99" s="43">
        <f t="shared" si="42"/>
        <v>0.9</v>
      </c>
      <c r="CD99" s="43">
        <f t="shared" si="42"/>
        <v>7.9</v>
      </c>
      <c r="CE99" s="43">
        <f t="shared" si="24"/>
        <v>25.761172309999999</v>
      </c>
      <c r="CF99" s="57"/>
      <c r="CG99" s="35" t="s">
        <v>44</v>
      </c>
      <c r="CH99" s="43">
        <f>SUM(CH85:CH97)</f>
        <v>7.3932642</v>
      </c>
      <c r="CI99" s="43">
        <f t="shared" ref="CI99:CP99" si="43">SUM(CI85:CI97)</f>
        <v>0.7677723099999999</v>
      </c>
      <c r="CJ99" s="43">
        <f t="shared" si="43"/>
        <v>0.14249999999999999</v>
      </c>
      <c r="CK99" s="43">
        <f t="shared" si="43"/>
        <v>0.34167964099999998</v>
      </c>
      <c r="CL99" s="43">
        <f t="shared" si="43"/>
        <v>2.5594000000000001</v>
      </c>
      <c r="CM99" s="43">
        <f t="shared" si="43"/>
        <v>0.37535329919999999</v>
      </c>
      <c r="CN99" s="43">
        <f t="shared" si="43"/>
        <v>0.13631000000000001</v>
      </c>
      <c r="CO99" s="43">
        <f t="shared" si="43"/>
        <v>7.8532165992999996</v>
      </c>
      <c r="CP99" s="43">
        <f t="shared" si="43"/>
        <v>6.5</v>
      </c>
      <c r="CQ99" s="43">
        <f t="shared" si="25"/>
        <v>26.069496049500003</v>
      </c>
    </row>
    <row r="100" spans="1:95" ht="12.6" customHeight="1">
      <c r="A100" s="19"/>
      <c r="B100" s="19"/>
      <c r="C100" s="19"/>
      <c r="D100" s="19"/>
      <c r="E100" s="19"/>
      <c r="F100" s="19"/>
      <c r="G100" s="19"/>
      <c r="H100" s="19"/>
      <c r="I100" s="19"/>
      <c r="J100" s="19"/>
      <c r="K100" s="19"/>
      <c r="L100" s="19"/>
      <c r="M100" s="19"/>
      <c r="N100" s="19"/>
      <c r="O100" s="19"/>
      <c r="P100" s="19"/>
      <c r="Q100" s="19"/>
      <c r="R100" s="19"/>
      <c r="S100" s="19"/>
      <c r="U100" s="19"/>
      <c r="V100" s="20"/>
      <c r="W100" s="36"/>
    </row>
    <row r="101" spans="1:95" ht="12.6" customHeight="1">
      <c r="A101" s="77" t="s">
        <v>2271</v>
      </c>
      <c r="B101" s="77"/>
      <c r="C101" s="77"/>
      <c r="D101" s="77"/>
      <c r="E101" s="77"/>
      <c r="F101" s="77"/>
      <c r="G101" s="77"/>
      <c r="H101" s="77"/>
      <c r="I101" s="77"/>
      <c r="J101" s="88"/>
      <c r="K101" s="88"/>
      <c r="L101" s="88"/>
      <c r="M101" s="88"/>
      <c r="N101" s="88"/>
      <c r="O101" s="88"/>
      <c r="P101" s="88"/>
      <c r="Q101" s="88"/>
      <c r="R101" s="88"/>
      <c r="S101" s="88"/>
      <c r="T101" s="88"/>
      <c r="U101" s="88"/>
      <c r="V101" s="88"/>
      <c r="W101" s="88"/>
      <c r="X101" s="88"/>
      <c r="Y101" s="88"/>
    </row>
    <row r="102" spans="1:95" ht="12.6" customHeight="1">
      <c r="A102" s="104" t="s">
        <v>777</v>
      </c>
      <c r="B102" s="104"/>
      <c r="C102" s="104"/>
      <c r="D102" s="104"/>
      <c r="E102" s="104"/>
      <c r="F102" s="104"/>
      <c r="G102" s="104"/>
      <c r="H102" s="104"/>
      <c r="I102" s="104"/>
      <c r="J102" s="88"/>
      <c r="K102" s="88"/>
      <c r="L102" s="88"/>
      <c r="M102" s="88"/>
      <c r="N102" s="88"/>
      <c r="O102" s="88"/>
      <c r="P102" s="88"/>
      <c r="Q102" s="88"/>
      <c r="R102" s="88"/>
      <c r="S102" s="88"/>
      <c r="T102" s="88"/>
      <c r="U102" s="88"/>
      <c r="V102" s="88"/>
      <c r="W102" s="88"/>
      <c r="X102" s="88"/>
      <c r="Y102" s="88"/>
    </row>
    <row r="103" spans="1:95" ht="12.6" customHeight="1">
      <c r="A103" s="88" t="s">
        <v>785</v>
      </c>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row>
    <row r="104" spans="1:95" ht="12.6" customHeight="1">
      <c r="A104" s="104" t="s">
        <v>778</v>
      </c>
      <c r="B104" s="104"/>
      <c r="C104" s="104"/>
      <c r="D104" s="104"/>
      <c r="E104" s="104"/>
      <c r="F104" s="104"/>
      <c r="G104" s="104"/>
      <c r="H104" s="104"/>
      <c r="I104" s="104"/>
      <c r="J104" s="88"/>
      <c r="K104" s="88"/>
      <c r="L104" s="88"/>
      <c r="M104" s="88"/>
      <c r="N104" s="88"/>
      <c r="O104" s="88"/>
      <c r="P104" s="88"/>
      <c r="Q104" s="88"/>
      <c r="R104" s="88"/>
      <c r="S104" s="88"/>
      <c r="T104" s="88"/>
      <c r="U104" s="88"/>
      <c r="V104" s="88"/>
      <c r="W104" s="88"/>
      <c r="X104" s="88"/>
      <c r="Y104" s="88"/>
    </row>
    <row r="105" spans="1:95" ht="12.6" customHeight="1">
      <c r="A105" s="88" t="s">
        <v>786</v>
      </c>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row>
    <row r="106" spans="1:95" ht="12.6" customHeight="1">
      <c r="A106" s="88" t="s">
        <v>2229</v>
      </c>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row>
    <row r="107" spans="1:95" ht="12.6" customHeight="1">
      <c r="A107" s="88" t="s">
        <v>1311</v>
      </c>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row>
    <row r="108" spans="1:95" ht="12.6" customHeight="1">
      <c r="A108" s="105" t="s">
        <v>1465</v>
      </c>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row>
    <row r="109" spans="1:95" ht="12.6" customHeight="1">
      <c r="A109" s="88"/>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row>
  </sheetData>
  <phoneticPr fontId="0" type="noConversion"/>
  <pageMargins left="0.75" right="0.75" top="1" bottom="1" header="0.5" footer="0.5"/>
  <pageSetup scale="59" orientation="landscape" horizontalDpi="1200" verticalDpi="1200" r:id="rId1"/>
  <headerFooter alignWithMargins="0"/>
  <ignoredErrors>
    <ignoredError sqref="A13:A25 F77 C77:C78 F14:F29" formulaRange="1"/>
    <ignoredError sqref="R7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E9886-08F6-4F6D-AADA-75FBB5F1D236}">
  <sheetPr>
    <pageSetUpPr fitToPage="1"/>
  </sheetPr>
  <dimension ref="A8:AA97"/>
  <sheetViews>
    <sheetView topLeftCell="A40" zoomScale="85" zoomScaleNormal="85" workbookViewId="0">
      <selection activeCell="C93" sqref="C93"/>
    </sheetView>
  </sheetViews>
  <sheetFormatPr defaultColWidth="8.85546875" defaultRowHeight="12.6" customHeight="1"/>
  <cols>
    <col min="1" max="1" width="7.5703125" style="9" customWidth="1"/>
    <col min="2" max="3" width="10.5703125" style="9" customWidth="1"/>
    <col min="4" max="18" width="7.5703125" style="9" customWidth="1"/>
    <col min="19" max="19" width="10.5703125" style="9" bestFit="1" customWidth="1"/>
    <col min="20" max="20" width="11.85546875" style="9" bestFit="1" customWidth="1"/>
    <col min="21" max="16384" width="8.85546875" style="9"/>
  </cols>
  <sheetData>
    <row r="8" spans="1:17" ht="12.6" customHeight="1">
      <c r="A8" s="76" t="s">
        <v>756</v>
      </c>
      <c r="B8" s="8"/>
      <c r="C8" s="8"/>
      <c r="D8" s="8"/>
      <c r="E8" s="8"/>
      <c r="F8" s="8"/>
      <c r="G8" s="8"/>
      <c r="H8" s="8"/>
      <c r="I8" s="8"/>
      <c r="J8" s="8"/>
      <c r="K8" s="8"/>
      <c r="L8" s="8"/>
      <c r="M8" s="8"/>
      <c r="N8" s="8"/>
      <c r="O8" s="8"/>
      <c r="P8" s="8"/>
      <c r="Q8" s="8"/>
    </row>
    <row r="9" spans="1:17" ht="12.6" customHeight="1">
      <c r="A9" s="77" t="s">
        <v>3</v>
      </c>
      <c r="B9" s="8"/>
      <c r="C9" s="8"/>
      <c r="D9" s="8"/>
      <c r="E9" s="8"/>
      <c r="F9" s="8"/>
      <c r="G9" s="8"/>
      <c r="H9" s="8"/>
      <c r="I9" s="8"/>
      <c r="J9" s="8"/>
      <c r="K9" s="8"/>
      <c r="L9" s="8"/>
      <c r="M9" s="8"/>
      <c r="N9" s="10"/>
      <c r="O9" s="8"/>
      <c r="P9" s="8"/>
      <c r="Q9" s="8"/>
    </row>
    <row r="10" spans="1:17" ht="12.6" customHeight="1">
      <c r="K10" s="10"/>
    </row>
    <row r="11" spans="1:17" ht="12.6" customHeight="1">
      <c r="A11" s="78" t="s">
        <v>764</v>
      </c>
      <c r="K11" s="10"/>
    </row>
    <row r="12" spans="1:17" ht="12.6" customHeight="1">
      <c r="A12" s="27"/>
      <c r="K12" s="10"/>
    </row>
    <row r="13" spans="1:17" ht="12.6" customHeight="1">
      <c r="A13" s="107"/>
      <c r="B13" s="87"/>
      <c r="K13" s="10"/>
    </row>
    <row r="14" spans="1:17" ht="12.6" customHeight="1">
      <c r="A14" s="81">
        <v>2016</v>
      </c>
      <c r="B14" s="108">
        <v>5.6</v>
      </c>
      <c r="K14" s="10"/>
    </row>
    <row r="15" spans="1:17" ht="12.6" customHeight="1">
      <c r="A15" s="81">
        <v>2017</v>
      </c>
      <c r="B15" s="108">
        <v>2.2999999999999998</v>
      </c>
      <c r="K15" s="10"/>
    </row>
    <row r="16" spans="1:17" ht="12.6" customHeight="1">
      <c r="A16" s="81">
        <v>2018</v>
      </c>
      <c r="B16" s="108">
        <v>15.8</v>
      </c>
      <c r="K16" s="10"/>
    </row>
    <row r="17" spans="1:27" ht="12.6" customHeight="1">
      <c r="A17" s="81">
        <v>2019</v>
      </c>
      <c r="B17" s="108">
        <v>75.400000000000006</v>
      </c>
      <c r="K17" s="10"/>
    </row>
    <row r="18" spans="1:27" ht="12.6" customHeight="1">
      <c r="A18" s="81">
        <v>2020</v>
      </c>
      <c r="B18" s="108">
        <v>76.3</v>
      </c>
      <c r="K18" s="10"/>
    </row>
    <row r="19" spans="1:27" ht="12.6" customHeight="1">
      <c r="A19" s="81">
        <v>2021</v>
      </c>
      <c r="B19" s="108">
        <v>63.6</v>
      </c>
      <c r="K19" s="10"/>
    </row>
    <row r="20" spans="1:27" ht="12.6" customHeight="1">
      <c r="A20" s="81">
        <v>2022</v>
      </c>
      <c r="B20" s="108">
        <v>66.139899999999997</v>
      </c>
      <c r="K20" s="10"/>
    </row>
    <row r="21" spans="1:27" ht="12.6" customHeight="1">
      <c r="A21" s="81">
        <v>2023</v>
      </c>
      <c r="B21" s="108">
        <v>75.7</v>
      </c>
      <c r="C21" s="39"/>
      <c r="K21" s="10"/>
    </row>
    <row r="22" spans="1:27" ht="12.6" customHeight="1">
      <c r="A22" s="81">
        <v>2024</v>
      </c>
      <c r="B22" s="108">
        <v>66.5</v>
      </c>
      <c r="C22" s="39"/>
      <c r="K22" s="10"/>
    </row>
    <row r="23" spans="1:27" ht="12.6" customHeight="1">
      <c r="A23" s="81" t="s">
        <v>2182</v>
      </c>
      <c r="B23" s="108">
        <v>10.7</v>
      </c>
      <c r="C23" s="39"/>
      <c r="K23" s="10"/>
    </row>
    <row r="24" spans="1:27" ht="12.6" customHeight="1">
      <c r="A24" s="81" t="s">
        <v>2230</v>
      </c>
      <c r="B24" s="108"/>
      <c r="C24" s="39"/>
      <c r="K24" s="10"/>
    </row>
    <row r="25" spans="1:27" ht="12.6" customHeight="1">
      <c r="A25" s="95" t="s">
        <v>22</v>
      </c>
      <c r="B25" s="91">
        <f>SUM(B14:B23)</f>
        <v>458.03989999999999</v>
      </c>
      <c r="K25" s="10"/>
    </row>
    <row r="26" spans="1:27" ht="12.6" customHeight="1">
      <c r="A26" s="10"/>
      <c r="K26" s="10"/>
    </row>
    <row r="27" spans="1:27" ht="12.6" customHeight="1">
      <c r="A27" s="106" t="s">
        <v>1460</v>
      </c>
      <c r="K27" s="10"/>
    </row>
    <row r="28" spans="1:27" ht="12.6" customHeight="1">
      <c r="A28" s="27"/>
      <c r="K28" s="10"/>
    </row>
    <row r="29" spans="1:27" ht="12.6" customHeight="1">
      <c r="A29" s="79"/>
      <c r="B29" s="87" t="s">
        <v>2183</v>
      </c>
      <c r="C29" s="87" t="s">
        <v>2231</v>
      </c>
      <c r="D29" s="88"/>
      <c r="E29" s="87" t="s">
        <v>1913</v>
      </c>
      <c r="F29" s="87" t="s">
        <v>1968</v>
      </c>
      <c r="G29" s="87" t="s">
        <v>2019</v>
      </c>
      <c r="H29" s="87" t="s">
        <v>2068</v>
      </c>
      <c r="I29" s="87" t="s">
        <v>54</v>
      </c>
      <c r="J29" s="88"/>
      <c r="K29" s="87" t="s">
        <v>1588</v>
      </c>
      <c r="L29" s="87" t="s">
        <v>1661</v>
      </c>
      <c r="M29" s="87" t="s">
        <v>1727</v>
      </c>
      <c r="N29" s="87" t="s">
        <v>1466</v>
      </c>
      <c r="O29" s="87" t="s">
        <v>54</v>
      </c>
      <c r="P29" s="88"/>
      <c r="Q29" s="87" t="s">
        <v>1309</v>
      </c>
      <c r="R29" s="87" t="s">
        <v>1365</v>
      </c>
      <c r="S29" s="87" t="s">
        <v>1403</v>
      </c>
      <c r="T29" s="87" t="s">
        <v>1466</v>
      </c>
      <c r="U29" s="87" t="s">
        <v>54</v>
      </c>
      <c r="V29" s="88"/>
      <c r="W29" s="89" t="s">
        <v>1047</v>
      </c>
      <c r="X29" s="89" t="s">
        <v>1093</v>
      </c>
      <c r="Y29" s="89" t="s">
        <v>1141</v>
      </c>
      <c r="Z29" s="89" t="s">
        <v>1193</v>
      </c>
      <c r="AA29" s="87" t="s">
        <v>54</v>
      </c>
    </row>
    <row r="30" spans="1:27" ht="12.6" customHeight="1">
      <c r="A30" s="81" t="s">
        <v>90</v>
      </c>
      <c r="B30" s="90">
        <v>9.5</v>
      </c>
      <c r="C30" s="90">
        <v>22.5</v>
      </c>
      <c r="D30" s="92"/>
      <c r="E30" s="90">
        <v>11.7</v>
      </c>
      <c r="F30" s="90">
        <v>20.399999999999999</v>
      </c>
      <c r="G30" s="90">
        <v>6.8</v>
      </c>
      <c r="H30" s="90">
        <v>13.7</v>
      </c>
      <c r="I30" s="91">
        <f>SUM(E30:H30)</f>
        <v>52.599999999999994</v>
      </c>
      <c r="J30" s="92"/>
      <c r="K30" s="90">
        <v>8.9777532385000018</v>
      </c>
      <c r="L30" s="90">
        <v>10.7648074756094</v>
      </c>
      <c r="M30" s="90">
        <v>13.8383672</v>
      </c>
      <c r="N30" s="90">
        <v>10.5</v>
      </c>
      <c r="O30" s="91">
        <f>SUM(K30:N30)</f>
        <v>44.080927914109402</v>
      </c>
      <c r="P30" s="92"/>
      <c r="Q30" s="90">
        <v>6.6</v>
      </c>
      <c r="R30" s="90">
        <v>7</v>
      </c>
      <c r="S30" s="90">
        <v>7.0310400000000008</v>
      </c>
      <c r="T30" s="90">
        <f>24.38758-S30-R30-Q30</f>
        <v>3.7565399999999993</v>
      </c>
      <c r="U30" s="91">
        <f>SUM(Q30:T30)</f>
        <v>24.38758</v>
      </c>
      <c r="V30" s="92"/>
      <c r="W30" s="90">
        <v>6.9</v>
      </c>
      <c r="X30" s="90">
        <v>8.9</v>
      </c>
      <c r="Y30" s="90">
        <v>7.8</v>
      </c>
      <c r="Z30" s="90">
        <v>13.4</v>
      </c>
      <c r="AA30" s="91">
        <f>SUM(W30:Z30)</f>
        <v>37</v>
      </c>
    </row>
    <row r="31" spans="1:27" ht="12.6" customHeight="1">
      <c r="A31" s="81" t="s">
        <v>59</v>
      </c>
      <c r="B31" s="90">
        <v>1.2</v>
      </c>
      <c r="C31" s="90">
        <v>1.9</v>
      </c>
      <c r="D31" s="92"/>
      <c r="E31" s="90">
        <v>2.7</v>
      </c>
      <c r="F31" s="90">
        <v>6.8</v>
      </c>
      <c r="G31" s="90">
        <v>1.6</v>
      </c>
      <c r="H31" s="90">
        <v>2.8</v>
      </c>
      <c r="I31" s="91">
        <f t="shared" ref="I31:I32" si="0">SUM(E31:H31)</f>
        <v>13.899999999999999</v>
      </c>
      <c r="J31" s="92"/>
      <c r="K31" s="90">
        <v>8.9669635599999999</v>
      </c>
      <c r="L31" s="90">
        <v>10.399999999999999</v>
      </c>
      <c r="M31" s="90">
        <v>4.3338018785999992</v>
      </c>
      <c r="N31" s="90">
        <v>7.9</v>
      </c>
      <c r="O31" s="91">
        <f t="shared" ref="O31:O32" si="1">SUM(K31:N31)</f>
        <v>31.6007654386</v>
      </c>
      <c r="P31" s="92"/>
      <c r="Q31" s="90">
        <v>4.5</v>
      </c>
      <c r="R31" s="90">
        <v>8.1999999999999993</v>
      </c>
      <c r="S31" s="90">
        <v>2.2386799999999987</v>
      </c>
      <c r="T31" s="90">
        <f>41.75232-S31-R31-Q31</f>
        <v>26.813639999999996</v>
      </c>
      <c r="U31" s="91">
        <f t="shared" ref="U31" si="2">SUM(Q31:T31)</f>
        <v>41.752319999999997</v>
      </c>
      <c r="V31" s="92"/>
      <c r="W31" s="90">
        <v>4.4000000000000004</v>
      </c>
      <c r="X31" s="90">
        <v>2.2999999999999998</v>
      </c>
      <c r="Y31" s="90">
        <v>5</v>
      </c>
      <c r="Z31" s="90">
        <v>14.9</v>
      </c>
      <c r="AA31" s="91">
        <f t="shared" ref="AA31:AA32" si="3">SUM(W31:Z31)</f>
        <v>26.6</v>
      </c>
    </row>
    <row r="32" spans="1:27" ht="12.6" customHeight="1">
      <c r="A32" s="95" t="s">
        <v>22</v>
      </c>
      <c r="B32" s="91">
        <v>10.7</v>
      </c>
      <c r="C32" s="91">
        <v>24.4</v>
      </c>
      <c r="D32" s="92"/>
      <c r="E32" s="91">
        <v>14.4</v>
      </c>
      <c r="F32" s="91">
        <v>27.2</v>
      </c>
      <c r="G32" s="91">
        <v>8.4</v>
      </c>
      <c r="H32" s="91">
        <f>SUM(H30:H31)</f>
        <v>16.5</v>
      </c>
      <c r="I32" s="91">
        <f t="shared" si="0"/>
        <v>66.5</v>
      </c>
      <c r="J32" s="92"/>
      <c r="K32" s="91">
        <v>18</v>
      </c>
      <c r="L32" s="91">
        <f>SUM(L30:L31)</f>
        <v>21.1648074756094</v>
      </c>
      <c r="M32" s="91">
        <f>SUM(M30:M31)</f>
        <v>18.1721690786</v>
      </c>
      <c r="N32" s="91">
        <f>SUM(N30:N31)</f>
        <v>18.399999999999999</v>
      </c>
      <c r="O32" s="91">
        <f t="shared" si="1"/>
        <v>75.736976554209406</v>
      </c>
      <c r="P32" s="92"/>
      <c r="Q32" s="91">
        <f>SUM(Q30:Q31)</f>
        <v>11.1</v>
      </c>
      <c r="R32" s="91">
        <f>SUM(R30:R31)</f>
        <v>15.2</v>
      </c>
      <c r="S32" s="91">
        <f>SUM(S30:S31)</f>
        <v>9.2697199999999995</v>
      </c>
      <c r="T32" s="91">
        <f>SUM(T30:T31)</f>
        <v>30.570179999999993</v>
      </c>
      <c r="U32" s="91">
        <f>SUM(Q32:T32)</f>
        <v>66.139899999999983</v>
      </c>
      <c r="V32" s="92"/>
      <c r="W32" s="91">
        <f>SUM(W30:W31)</f>
        <v>11.3</v>
      </c>
      <c r="X32" s="91">
        <f t="shared" ref="X32:Z32" si="4">SUM(X30:X31)</f>
        <v>11.2</v>
      </c>
      <c r="Y32" s="91">
        <f t="shared" si="4"/>
        <v>12.8</v>
      </c>
      <c r="Z32" s="91">
        <f t="shared" si="4"/>
        <v>28.3</v>
      </c>
      <c r="AA32" s="91">
        <f t="shared" si="3"/>
        <v>63.599999999999994</v>
      </c>
    </row>
    <row r="33" spans="1:27" ht="12.6" customHeight="1">
      <c r="A33" s="8"/>
      <c r="B33" s="39"/>
      <c r="C33" s="39"/>
      <c r="D33" s="39"/>
      <c r="E33" s="39"/>
      <c r="F33" s="39"/>
      <c r="G33" s="10"/>
      <c r="H33" s="26"/>
      <c r="I33" s="26"/>
      <c r="J33" s="39"/>
      <c r="K33" s="39"/>
      <c r="L33" s="39"/>
      <c r="O33" s="10"/>
      <c r="P33" s="41"/>
      <c r="U33" s="10"/>
    </row>
    <row r="34" spans="1:27" ht="12.6" customHeight="1">
      <c r="A34" s="106" t="s">
        <v>1468</v>
      </c>
      <c r="B34" s="41"/>
      <c r="C34" s="41"/>
      <c r="D34" s="41"/>
      <c r="E34" s="41"/>
      <c r="F34" s="41"/>
      <c r="G34" s="10"/>
      <c r="H34" s="10"/>
      <c r="I34" s="10"/>
      <c r="J34" s="41"/>
      <c r="K34" s="41"/>
      <c r="L34" s="41"/>
      <c r="O34" s="10"/>
      <c r="P34" s="41"/>
      <c r="U34" s="10"/>
    </row>
    <row r="35" spans="1:27" ht="12.6" customHeight="1">
      <c r="A35" s="8"/>
      <c r="B35" s="41"/>
      <c r="C35" s="41"/>
      <c r="D35" s="41"/>
      <c r="E35" s="41"/>
      <c r="F35" s="41"/>
      <c r="G35" s="10"/>
      <c r="H35" s="10"/>
      <c r="I35" s="10"/>
      <c r="J35" s="41"/>
      <c r="K35" s="41"/>
      <c r="L35" s="41"/>
      <c r="O35" s="10"/>
      <c r="P35" s="41"/>
      <c r="U35" s="10"/>
    </row>
    <row r="36" spans="1:27" ht="12.6" customHeight="1">
      <c r="A36" s="79"/>
      <c r="B36" s="87" t="s">
        <v>2183</v>
      </c>
      <c r="C36" s="87" t="s">
        <v>2231</v>
      </c>
      <c r="D36" s="88"/>
      <c r="E36" s="87" t="s">
        <v>1913</v>
      </c>
      <c r="F36" s="87" t="s">
        <v>1968</v>
      </c>
      <c r="G36" s="87" t="s">
        <v>2019</v>
      </c>
      <c r="H36" s="87" t="s">
        <v>2068</v>
      </c>
      <c r="I36" s="87" t="s">
        <v>54</v>
      </c>
      <c r="J36" s="88"/>
      <c r="K36" s="87" t="s">
        <v>1588</v>
      </c>
      <c r="L36" s="87" t="s">
        <v>1661</v>
      </c>
      <c r="M36" s="87" t="s">
        <v>1727</v>
      </c>
      <c r="N36" s="87" t="s">
        <v>1466</v>
      </c>
      <c r="O36" s="87" t="s">
        <v>54</v>
      </c>
      <c r="P36" s="88"/>
      <c r="Q36" s="87" t="s">
        <v>1309</v>
      </c>
      <c r="R36" s="87" t="s">
        <v>1365</v>
      </c>
      <c r="S36" s="87" t="s">
        <v>1403</v>
      </c>
      <c r="T36" s="87" t="s">
        <v>1466</v>
      </c>
      <c r="U36" s="87" t="s">
        <v>54</v>
      </c>
      <c r="V36" s="88"/>
      <c r="W36" s="89" t="s">
        <v>1047</v>
      </c>
      <c r="X36" s="89" t="s">
        <v>1093</v>
      </c>
      <c r="Y36" s="89" t="s">
        <v>1141</v>
      </c>
      <c r="Z36" s="89" t="s">
        <v>1193</v>
      </c>
      <c r="AA36" s="87" t="s">
        <v>54</v>
      </c>
    </row>
    <row r="37" spans="1:27" ht="12.6" customHeight="1">
      <c r="A37" s="81" t="s">
        <v>1461</v>
      </c>
      <c r="B37" s="90">
        <v>8</v>
      </c>
      <c r="C37" s="90">
        <v>20.100000000000001</v>
      </c>
      <c r="D37" s="92"/>
      <c r="E37" s="90">
        <v>10.5</v>
      </c>
      <c r="F37" s="90">
        <v>19.899999999999999</v>
      </c>
      <c r="G37" s="90">
        <v>7.3</v>
      </c>
      <c r="H37" s="90">
        <v>13.1</v>
      </c>
      <c r="I37" s="91">
        <f>SUM(E37:H37)</f>
        <v>50.8</v>
      </c>
      <c r="J37" s="92"/>
      <c r="K37" s="90">
        <v>15.491910102999999</v>
      </c>
      <c r="L37" s="90">
        <v>16.076280999999998</v>
      </c>
      <c r="M37" s="90">
        <v>14.803913999999994</v>
      </c>
      <c r="N37" s="90">
        <v>12.5</v>
      </c>
      <c r="O37" s="91">
        <f>SUM(K37:N37)</f>
        <v>58.872105102999988</v>
      </c>
      <c r="P37" s="92"/>
      <c r="Q37" s="90">
        <v>7.7</v>
      </c>
      <c r="R37" s="90">
        <v>13.9</v>
      </c>
      <c r="S37" s="90">
        <f>9.26971999999999-S38</f>
        <v>7.9907699999999915</v>
      </c>
      <c r="T37" s="90">
        <f>52.71713-S37-R37-Q37</f>
        <v>23.126360000000009</v>
      </c>
      <c r="U37" s="91">
        <f>SUM(Q37:T37)</f>
        <v>52.717129999999997</v>
      </c>
      <c r="V37" s="92"/>
      <c r="W37" s="90">
        <v>8.1</v>
      </c>
      <c r="X37" s="90">
        <v>10.3</v>
      </c>
      <c r="Y37" s="90">
        <v>11.8</v>
      </c>
      <c r="Z37" s="90">
        <v>20.5</v>
      </c>
      <c r="AA37" s="91">
        <f>SUM(W37:Z37)</f>
        <v>50.7</v>
      </c>
    </row>
    <row r="38" spans="1:27" ht="12.6" customHeight="1">
      <c r="A38" s="81" t="s">
        <v>1462</v>
      </c>
      <c r="B38" s="90">
        <v>2.7</v>
      </c>
      <c r="C38" s="90">
        <v>4.3</v>
      </c>
      <c r="D38" s="92"/>
      <c r="E38" s="90">
        <v>3.9</v>
      </c>
      <c r="F38" s="90">
        <v>7.3</v>
      </c>
      <c r="G38" s="90">
        <v>1.1000000000000001</v>
      </c>
      <c r="H38" s="90">
        <v>3.4</v>
      </c>
      <c r="I38" s="91">
        <f t="shared" ref="I38:I39" si="5">SUM(E38:H38)</f>
        <v>15.7</v>
      </c>
      <c r="J38" s="92"/>
      <c r="K38" s="90">
        <v>2.4528066955000005</v>
      </c>
      <c r="L38" s="90">
        <v>5.0885264756094006</v>
      </c>
      <c r="M38" s="90">
        <v>3.3682550786000021</v>
      </c>
      <c r="N38" s="90">
        <v>5.8</v>
      </c>
      <c r="O38" s="91">
        <f t="shared" ref="O38:O39" si="6">SUM(K38:N38)</f>
        <v>16.709588249709402</v>
      </c>
      <c r="P38" s="92"/>
      <c r="Q38" s="90">
        <v>3.3</v>
      </c>
      <c r="R38" s="90">
        <v>1.3</v>
      </c>
      <c r="S38" s="90">
        <v>1.2789499999999989</v>
      </c>
      <c r="T38" s="90">
        <v>7.6</v>
      </c>
      <c r="U38" s="91">
        <f t="shared" ref="U38" si="7">SUM(Q38:T38)</f>
        <v>13.478949999999998</v>
      </c>
      <c r="V38" s="92"/>
      <c r="W38" s="90">
        <v>3.2</v>
      </c>
      <c r="X38" s="90">
        <v>0.9</v>
      </c>
      <c r="Y38" s="90">
        <v>1</v>
      </c>
      <c r="Z38" s="90">
        <v>7.8</v>
      </c>
      <c r="AA38" s="91">
        <f t="shared" ref="AA38:AA39" si="8">SUM(W38:Z38)</f>
        <v>12.9</v>
      </c>
    </row>
    <row r="39" spans="1:27" ht="12.6" customHeight="1">
      <c r="A39" s="95" t="s">
        <v>22</v>
      </c>
      <c r="B39" s="91">
        <v>10.7</v>
      </c>
      <c r="C39" s="91">
        <v>24.4</v>
      </c>
      <c r="D39" s="92"/>
      <c r="E39" s="91">
        <v>14.4</v>
      </c>
      <c r="F39" s="91">
        <v>27.2</v>
      </c>
      <c r="G39" s="91">
        <v>8.4</v>
      </c>
      <c r="H39" s="91">
        <v>16.5</v>
      </c>
      <c r="I39" s="91">
        <f t="shared" si="5"/>
        <v>66.5</v>
      </c>
      <c r="J39" s="92"/>
      <c r="K39" s="91">
        <v>18</v>
      </c>
      <c r="L39" s="91">
        <f>SUM(L37:L38)</f>
        <v>21.1648074756094</v>
      </c>
      <c r="M39" s="91">
        <f>SUM(M37:M38)</f>
        <v>18.172169078599996</v>
      </c>
      <c r="N39" s="91">
        <v>18.399999999999999</v>
      </c>
      <c r="O39" s="91">
        <f t="shared" si="6"/>
        <v>75.736976554209406</v>
      </c>
      <c r="P39" s="92"/>
      <c r="Q39" s="91">
        <f>SUM(Q37:Q38)</f>
        <v>11</v>
      </c>
      <c r="R39" s="91">
        <f>SUM(R37:R38)</f>
        <v>15.200000000000001</v>
      </c>
      <c r="S39" s="91">
        <f>SUM(S37:S38)</f>
        <v>9.2697199999999906</v>
      </c>
      <c r="T39" s="91">
        <v>30.6</v>
      </c>
      <c r="U39" s="91">
        <f>SUM(Q39:T39)</f>
        <v>66.06971999999999</v>
      </c>
      <c r="V39" s="92"/>
      <c r="W39" s="91">
        <f>SUM(W37:W38)</f>
        <v>11.3</v>
      </c>
      <c r="X39" s="91">
        <f t="shared" ref="X39:Z39" si="9">SUM(X37:X38)</f>
        <v>11.200000000000001</v>
      </c>
      <c r="Y39" s="91">
        <f t="shared" si="9"/>
        <v>12.8</v>
      </c>
      <c r="Z39" s="91">
        <f t="shared" si="9"/>
        <v>28.3</v>
      </c>
      <c r="AA39" s="91">
        <f t="shared" si="8"/>
        <v>63.599999999999994</v>
      </c>
    </row>
    <row r="40" spans="1:27" ht="12.6" customHeight="1">
      <c r="K40" s="10"/>
    </row>
    <row r="41" spans="1:27" ht="12.6" customHeight="1">
      <c r="K41" s="10"/>
    </row>
    <row r="42" spans="1:27" ht="12.6" customHeight="1">
      <c r="A42" s="76" t="s">
        <v>757</v>
      </c>
      <c r="K42" s="10"/>
    </row>
    <row r="43" spans="1:27" ht="12.6" customHeight="1">
      <c r="A43" s="10" t="s">
        <v>1139</v>
      </c>
      <c r="K43" s="10"/>
    </row>
    <row r="44" spans="1:27" ht="12.6" customHeight="1">
      <c r="K44" s="10"/>
    </row>
    <row r="45" spans="1:27" ht="12.6" customHeight="1">
      <c r="A45" s="106" t="s">
        <v>1545</v>
      </c>
      <c r="K45" s="10"/>
    </row>
    <row r="46" spans="1:27" ht="12.6" customHeight="1">
      <c r="A46" s="27"/>
      <c r="K46" s="10"/>
    </row>
    <row r="47" spans="1:27" ht="12.6" customHeight="1">
      <c r="A47" s="107"/>
      <c r="B47" s="87" t="s">
        <v>573</v>
      </c>
      <c r="C47" s="87" t="s">
        <v>572</v>
      </c>
      <c r="K47" s="10"/>
    </row>
    <row r="48" spans="1:27" ht="12.6" customHeight="1">
      <c r="A48" s="81">
        <v>2019</v>
      </c>
      <c r="B48" s="109">
        <v>30</v>
      </c>
      <c r="C48" s="109">
        <v>51</v>
      </c>
      <c r="K48" s="10"/>
    </row>
    <row r="49" spans="1:11" ht="12.6" customHeight="1">
      <c r="A49" s="81">
        <v>2020</v>
      </c>
      <c r="B49" s="109">
        <v>165</v>
      </c>
      <c r="C49" s="109">
        <v>47</v>
      </c>
      <c r="K49" s="10"/>
    </row>
    <row r="50" spans="1:11" ht="12.6" customHeight="1">
      <c r="A50" s="81">
        <v>2021</v>
      </c>
      <c r="B50" s="109">
        <v>91</v>
      </c>
      <c r="C50" s="109">
        <v>67</v>
      </c>
      <c r="K50" s="10"/>
    </row>
    <row r="51" spans="1:11" ht="12.6" customHeight="1">
      <c r="A51" s="81">
        <v>2022</v>
      </c>
      <c r="B51" s="109">
        <v>69</v>
      </c>
      <c r="C51" s="109">
        <v>65</v>
      </c>
      <c r="K51" s="10"/>
    </row>
    <row r="52" spans="1:11" ht="12.6" customHeight="1">
      <c r="A52" s="81">
        <v>2023</v>
      </c>
      <c r="B52" s="109">
        <v>59</v>
      </c>
      <c r="C52" s="109">
        <v>68</v>
      </c>
      <c r="K52" s="10"/>
    </row>
    <row r="53" spans="1:11" ht="12.6" customHeight="1">
      <c r="A53" s="81">
        <v>2024</v>
      </c>
      <c r="B53" s="109">
        <v>122</v>
      </c>
      <c r="C53" s="109">
        <v>79</v>
      </c>
      <c r="K53" s="10"/>
    </row>
    <row r="54" spans="1:11" ht="12.6" customHeight="1">
      <c r="A54" s="81" t="s">
        <v>2182</v>
      </c>
      <c r="B54" s="109">
        <v>13</v>
      </c>
      <c r="C54" s="109">
        <v>11</v>
      </c>
      <c r="K54" s="10"/>
    </row>
    <row r="55" spans="1:11" ht="12.6" customHeight="1">
      <c r="A55" s="81" t="s">
        <v>2230</v>
      </c>
      <c r="B55" s="109">
        <v>22</v>
      </c>
      <c r="C55" s="109">
        <v>28</v>
      </c>
      <c r="K55" s="10"/>
    </row>
    <row r="56" spans="1:11" ht="12.6" customHeight="1">
      <c r="A56" s="95" t="s">
        <v>22</v>
      </c>
      <c r="B56" s="110">
        <f>SUM(B48:B55)</f>
        <v>571</v>
      </c>
      <c r="C56" s="110">
        <f>SUM(C48:C55)</f>
        <v>416</v>
      </c>
      <c r="K56" s="10"/>
    </row>
    <row r="57" spans="1:11" ht="12.6" customHeight="1">
      <c r="A57" s="27"/>
      <c r="K57" s="10"/>
    </row>
    <row r="58" spans="1:11" ht="12.6" customHeight="1">
      <c r="A58" s="106" t="s">
        <v>1546</v>
      </c>
      <c r="K58" s="10"/>
    </row>
    <row r="59" spans="1:11" ht="12.6" customHeight="1">
      <c r="A59" s="27"/>
      <c r="K59" s="10"/>
    </row>
    <row r="60" spans="1:11" ht="12.6" customHeight="1">
      <c r="A60" s="107"/>
      <c r="B60" s="87" t="s">
        <v>574</v>
      </c>
      <c r="C60" s="87" t="s">
        <v>575</v>
      </c>
      <c r="K60" s="10"/>
    </row>
    <row r="61" spans="1:11" ht="12.6" customHeight="1">
      <c r="A61" s="81">
        <v>2019</v>
      </c>
      <c r="B61" s="109">
        <v>25</v>
      </c>
      <c r="C61" s="109">
        <v>56</v>
      </c>
      <c r="K61" s="10"/>
    </row>
    <row r="62" spans="1:11" ht="12.6" customHeight="1">
      <c r="A62" s="81">
        <v>2020</v>
      </c>
      <c r="B62" s="109">
        <v>156</v>
      </c>
      <c r="C62" s="109">
        <v>56</v>
      </c>
      <c r="K62" s="10"/>
    </row>
    <row r="63" spans="1:11" ht="12.6" customHeight="1">
      <c r="A63" s="81">
        <v>2021</v>
      </c>
      <c r="B63" s="109">
        <v>74</v>
      </c>
      <c r="C63" s="109">
        <v>84</v>
      </c>
      <c r="K63" s="10"/>
    </row>
    <row r="64" spans="1:11" ht="12.6" customHeight="1">
      <c r="A64" s="81">
        <v>2022</v>
      </c>
      <c r="B64" s="109">
        <v>50</v>
      </c>
      <c r="C64" s="109">
        <v>84</v>
      </c>
      <c r="K64" s="10"/>
    </row>
    <row r="65" spans="1:11" ht="12.6" customHeight="1">
      <c r="A65" s="81">
        <v>2023</v>
      </c>
      <c r="B65" s="109">
        <v>28</v>
      </c>
      <c r="C65" s="109">
        <v>99</v>
      </c>
      <c r="K65" s="10"/>
    </row>
    <row r="66" spans="1:11" ht="12.6" customHeight="1">
      <c r="A66" s="81">
        <v>2024</v>
      </c>
      <c r="B66" s="109">
        <v>81</v>
      </c>
      <c r="C66" s="109">
        <v>120</v>
      </c>
      <c r="K66" s="10"/>
    </row>
    <row r="67" spans="1:11" ht="12.6" customHeight="1">
      <c r="A67" s="81" t="s">
        <v>2182</v>
      </c>
      <c r="B67" s="109">
        <v>10</v>
      </c>
      <c r="C67" s="109">
        <v>14</v>
      </c>
      <c r="K67" s="10"/>
    </row>
    <row r="68" spans="1:11" ht="12.6" customHeight="1">
      <c r="A68" s="81" t="s">
        <v>2230</v>
      </c>
      <c r="B68" s="109">
        <v>12</v>
      </c>
      <c r="C68" s="109">
        <v>38</v>
      </c>
      <c r="K68" s="10"/>
    </row>
    <row r="69" spans="1:11" ht="12.6" customHeight="1">
      <c r="A69" s="95" t="s">
        <v>22</v>
      </c>
      <c r="B69" s="110">
        <f>SUM(B61:B68)</f>
        <v>436</v>
      </c>
      <c r="C69" s="110">
        <f>SUM(C61:C68)</f>
        <v>551</v>
      </c>
      <c r="K69" s="10"/>
    </row>
    <row r="70" spans="1:11" ht="12.6" customHeight="1">
      <c r="K70" s="10"/>
    </row>
    <row r="71" spans="1:11" ht="12.6" customHeight="1">
      <c r="A71" s="106" t="s">
        <v>1586</v>
      </c>
      <c r="K71" s="10"/>
    </row>
    <row r="72" spans="1:11" ht="12.6" customHeight="1">
      <c r="A72" s="27"/>
      <c r="K72" s="10"/>
    </row>
    <row r="73" spans="1:11" ht="12.6" customHeight="1">
      <c r="A73" s="107"/>
      <c r="B73" s="87" t="s">
        <v>573</v>
      </c>
      <c r="C73" s="87" t="s">
        <v>572</v>
      </c>
      <c r="K73" s="10"/>
    </row>
    <row r="74" spans="1:11" ht="12.6" customHeight="1">
      <c r="A74" s="81">
        <v>2020</v>
      </c>
      <c r="B74" s="109">
        <v>16</v>
      </c>
      <c r="C74" s="109">
        <v>59</v>
      </c>
      <c r="K74" s="10"/>
    </row>
    <row r="75" spans="1:11" ht="12.6" customHeight="1">
      <c r="A75" s="81">
        <v>2021</v>
      </c>
      <c r="B75" s="109">
        <v>10</v>
      </c>
      <c r="C75" s="109">
        <v>13</v>
      </c>
      <c r="K75" s="10"/>
    </row>
    <row r="76" spans="1:11" ht="12.6" customHeight="1">
      <c r="A76" s="81">
        <v>2022</v>
      </c>
      <c r="B76" s="109">
        <v>8</v>
      </c>
      <c r="C76" s="109">
        <v>13</v>
      </c>
      <c r="K76" s="10"/>
    </row>
    <row r="77" spans="1:11" ht="12.6" customHeight="1">
      <c r="A77" s="81">
        <v>2023</v>
      </c>
      <c r="B77" s="109">
        <v>14</v>
      </c>
      <c r="C77" s="109">
        <v>22</v>
      </c>
      <c r="K77" s="10"/>
    </row>
    <row r="78" spans="1:11" ht="12.6" customHeight="1">
      <c r="A78" s="81">
        <v>2024</v>
      </c>
      <c r="B78" s="109">
        <v>9</v>
      </c>
      <c r="C78" s="109">
        <v>30</v>
      </c>
      <c r="K78" s="10"/>
    </row>
    <row r="79" spans="1:11" ht="12.6" customHeight="1">
      <c r="A79" s="81" t="s">
        <v>2182</v>
      </c>
      <c r="B79" s="109">
        <v>1</v>
      </c>
      <c r="C79" s="109">
        <v>4</v>
      </c>
      <c r="K79" s="10"/>
    </row>
    <row r="80" spans="1:11" ht="12.6" customHeight="1">
      <c r="A80" s="81" t="s">
        <v>2230</v>
      </c>
      <c r="B80" s="109">
        <v>5</v>
      </c>
      <c r="C80" s="109">
        <v>5</v>
      </c>
      <c r="K80" s="10"/>
    </row>
    <row r="81" spans="1:11" ht="12.6" customHeight="1">
      <c r="A81" s="95" t="s">
        <v>22</v>
      </c>
      <c r="B81" s="110">
        <f>SUM(B74:B80)</f>
        <v>63</v>
      </c>
      <c r="C81" s="110">
        <f>SUM(C74:C80)</f>
        <v>146</v>
      </c>
      <c r="K81" s="10"/>
    </row>
    <row r="82" spans="1:11" ht="12.6" customHeight="1">
      <c r="K82" s="10"/>
    </row>
    <row r="83" spans="1:11" ht="12.6" customHeight="1">
      <c r="A83" s="106" t="s">
        <v>1587</v>
      </c>
      <c r="K83" s="10"/>
    </row>
    <row r="84" spans="1:11" ht="12.6" customHeight="1">
      <c r="A84" s="27"/>
      <c r="K84" s="10"/>
    </row>
    <row r="85" spans="1:11" ht="12.6" customHeight="1">
      <c r="A85" s="107"/>
      <c r="B85" s="87" t="s">
        <v>574</v>
      </c>
      <c r="C85" s="87" t="s">
        <v>575</v>
      </c>
      <c r="K85" s="10"/>
    </row>
    <row r="86" spans="1:11" ht="12.6" customHeight="1">
      <c r="A86" s="81">
        <v>2020</v>
      </c>
      <c r="B86" s="109">
        <v>11</v>
      </c>
      <c r="C86" s="109">
        <v>64</v>
      </c>
      <c r="K86" s="10"/>
    </row>
    <row r="87" spans="1:11" ht="12.6" customHeight="1">
      <c r="A87" s="81">
        <v>2021</v>
      </c>
      <c r="B87" s="109">
        <v>5</v>
      </c>
      <c r="C87" s="109">
        <v>18</v>
      </c>
      <c r="K87" s="10"/>
    </row>
    <row r="88" spans="1:11" ht="12.6" customHeight="1">
      <c r="A88" s="81">
        <v>2022</v>
      </c>
      <c r="B88" s="109">
        <v>2</v>
      </c>
      <c r="C88" s="109">
        <v>19</v>
      </c>
      <c r="K88" s="10"/>
    </row>
    <row r="89" spans="1:11" ht="12.6" customHeight="1">
      <c r="A89" s="81">
        <v>2023</v>
      </c>
      <c r="B89" s="109">
        <v>1</v>
      </c>
      <c r="C89" s="109">
        <v>35</v>
      </c>
      <c r="K89" s="10"/>
    </row>
    <row r="90" spans="1:11" ht="12.6" customHeight="1">
      <c r="A90" s="81">
        <v>2024</v>
      </c>
      <c r="B90" s="109">
        <v>0</v>
      </c>
      <c r="C90" s="109">
        <v>39</v>
      </c>
      <c r="K90" s="10"/>
    </row>
    <row r="91" spans="1:11" ht="12.6" customHeight="1">
      <c r="A91" s="81" t="s">
        <v>2182</v>
      </c>
      <c r="B91" s="109">
        <v>0</v>
      </c>
      <c r="C91" s="109">
        <v>5</v>
      </c>
      <c r="K91" s="10"/>
    </row>
    <row r="92" spans="1:11" ht="12.6" customHeight="1">
      <c r="A92" s="81" t="s">
        <v>2230</v>
      </c>
      <c r="B92" s="109">
        <v>0</v>
      </c>
      <c r="C92" s="109">
        <v>10</v>
      </c>
      <c r="K92" s="10"/>
    </row>
    <row r="93" spans="1:11" ht="12.6" customHeight="1">
      <c r="A93" s="95" t="s">
        <v>22</v>
      </c>
      <c r="B93" s="110">
        <f>SUM(B86:B92)</f>
        <v>19</v>
      </c>
      <c r="C93" s="110">
        <f>SUM(C86:C92)</f>
        <v>190</v>
      </c>
      <c r="K93" s="10"/>
    </row>
    <row r="94" spans="1:11" ht="12.6" customHeight="1">
      <c r="K94" s="10"/>
    </row>
    <row r="95" spans="1:11" ht="12.6" customHeight="1">
      <c r="A95" s="77" t="s">
        <v>2272</v>
      </c>
      <c r="B95" s="88"/>
      <c r="C95" s="88"/>
      <c r="D95" s="88"/>
      <c r="E95" s="88"/>
      <c r="F95" s="88"/>
      <c r="G95" s="88"/>
      <c r="H95" s="88"/>
      <c r="I95" s="88"/>
      <c r="J95" s="88"/>
      <c r="K95" s="10"/>
    </row>
    <row r="96" spans="1:11" ht="12.6" customHeight="1">
      <c r="A96" s="104" t="s">
        <v>1192</v>
      </c>
      <c r="B96" s="88"/>
      <c r="C96" s="88"/>
      <c r="D96" s="88"/>
      <c r="E96" s="88"/>
      <c r="F96" s="88"/>
      <c r="G96" s="88"/>
      <c r="H96" s="88"/>
      <c r="I96" s="88"/>
      <c r="J96" s="88"/>
    </row>
    <row r="97" spans="1:10" ht="12.6" customHeight="1">
      <c r="A97" s="88" t="s">
        <v>1697</v>
      </c>
      <c r="B97" s="88"/>
      <c r="C97" s="88"/>
      <c r="D97" s="88"/>
      <c r="E97" s="88"/>
      <c r="F97" s="88"/>
      <c r="G97" s="88"/>
      <c r="H97" s="88"/>
      <c r="I97" s="88"/>
      <c r="J97" s="88"/>
    </row>
  </sheetData>
  <phoneticPr fontId="35" type="noConversion"/>
  <pageMargins left="0.75" right="0.75" top="1" bottom="1" header="0.5" footer="0.5"/>
  <pageSetup scale="65" orientation="landscape"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8:AM63"/>
  <sheetViews>
    <sheetView topLeftCell="A19" zoomScale="70" zoomScaleNormal="70" workbookViewId="0">
      <selection activeCell="A9" sqref="A9"/>
    </sheetView>
  </sheetViews>
  <sheetFormatPr defaultColWidth="8.85546875" defaultRowHeight="12.6" customHeight="1"/>
  <cols>
    <col min="1" max="1" width="20.28515625" style="9" customWidth="1"/>
    <col min="2" max="2" width="7.7109375" style="9" bestFit="1" customWidth="1"/>
    <col min="3" max="6" width="7.5703125" style="9" customWidth="1"/>
    <col min="7" max="7" width="7.7109375" style="9" bestFit="1" customWidth="1"/>
    <col min="8" max="8" width="7.5703125" style="9" customWidth="1"/>
    <col min="9" max="11" width="7.85546875" style="9" customWidth="1"/>
    <col min="12" max="12" width="7.7109375" style="9" bestFit="1" customWidth="1"/>
    <col min="13" max="14" width="8" style="9" customWidth="1"/>
    <col min="15" max="16" width="7.85546875" style="9" customWidth="1"/>
    <col min="17" max="17" width="7.7109375" style="9" bestFit="1" customWidth="1"/>
    <col min="18" max="18" width="8.5703125" style="9" bestFit="1" customWidth="1"/>
    <col min="19" max="19" width="9" style="9" bestFit="1" customWidth="1"/>
    <col min="20" max="21" width="7.85546875" style="9" customWidth="1"/>
    <col min="22" max="23" width="8.140625" style="9" bestFit="1" customWidth="1"/>
    <col min="24" max="24" width="9" style="9" bestFit="1" customWidth="1"/>
    <col min="25" max="25" width="8" style="9" bestFit="1" customWidth="1"/>
    <col min="26" max="26" width="8.140625" style="9" bestFit="1" customWidth="1"/>
    <col min="27" max="28" width="6.42578125" style="9" customWidth="1"/>
    <col min="29" max="30" width="7.85546875" style="9" bestFit="1" customWidth="1"/>
    <col min="31" max="31" width="9.140625" style="9" customWidth="1"/>
    <col min="32" max="33" width="9" style="9" bestFit="1" customWidth="1"/>
    <col min="34" max="34" width="8.85546875" style="9"/>
    <col min="35" max="39" width="9" style="9" bestFit="1" customWidth="1"/>
    <col min="40" max="16384" width="8.85546875" style="9"/>
  </cols>
  <sheetData>
    <row r="8" spans="1:39" ht="12.6" customHeight="1">
      <c r="A8" s="76" t="s">
        <v>49</v>
      </c>
      <c r="B8" s="34"/>
      <c r="C8" s="34"/>
      <c r="D8" s="34"/>
      <c r="E8" s="34"/>
      <c r="F8" s="34"/>
      <c r="G8" s="34"/>
      <c r="H8" s="34"/>
      <c r="I8" s="34"/>
      <c r="J8" s="8"/>
      <c r="K8" s="34"/>
      <c r="L8" s="34"/>
      <c r="M8" s="34"/>
      <c r="N8" s="34"/>
      <c r="O8" s="8"/>
      <c r="P8" s="8"/>
      <c r="Q8" s="34"/>
      <c r="R8" s="8"/>
      <c r="S8" s="8"/>
      <c r="T8" s="8"/>
      <c r="U8" s="8"/>
      <c r="V8" s="8"/>
      <c r="W8" s="8"/>
      <c r="X8" s="8"/>
      <c r="Y8" s="8"/>
      <c r="Z8" s="8"/>
      <c r="AA8" s="8"/>
      <c r="AB8" s="8"/>
      <c r="AC8" s="8"/>
      <c r="AD8" s="8"/>
      <c r="AE8" s="8"/>
    </row>
    <row r="9" spans="1:39" ht="12.6" customHeight="1">
      <c r="A9" s="77" t="s">
        <v>3</v>
      </c>
      <c r="B9" s="10"/>
      <c r="C9" s="10"/>
      <c r="D9" s="10"/>
      <c r="E9" s="10"/>
      <c r="F9" s="10"/>
      <c r="G9" s="10"/>
      <c r="H9" s="10"/>
      <c r="I9" s="10"/>
      <c r="J9" s="8"/>
      <c r="K9" s="10"/>
      <c r="L9" s="10"/>
      <c r="M9" s="10"/>
      <c r="N9" s="10"/>
      <c r="O9" s="8"/>
      <c r="P9" s="8"/>
      <c r="Q9" s="10"/>
      <c r="R9" s="8"/>
      <c r="S9" s="8"/>
      <c r="T9" s="8"/>
      <c r="U9" s="8"/>
      <c r="V9" s="8"/>
      <c r="W9" s="8"/>
      <c r="X9" s="8"/>
      <c r="Y9" s="8"/>
      <c r="Z9" s="8"/>
      <c r="AA9" s="8"/>
      <c r="AB9" s="8"/>
      <c r="AC9" s="8"/>
      <c r="AD9" s="8"/>
      <c r="AE9" s="8"/>
    </row>
    <row r="10" spans="1:39" ht="12.6" customHeight="1">
      <c r="A10" s="29"/>
      <c r="B10" s="29"/>
      <c r="C10" s="29"/>
      <c r="D10" s="29"/>
      <c r="E10" s="29"/>
      <c r="F10" s="29"/>
      <c r="G10" s="29"/>
      <c r="H10" s="29"/>
      <c r="I10" s="29"/>
      <c r="J10" s="8"/>
      <c r="K10" s="29"/>
      <c r="L10" s="29"/>
      <c r="M10" s="29"/>
      <c r="N10" s="29"/>
      <c r="O10" s="8"/>
      <c r="P10" s="8"/>
      <c r="Q10" s="29"/>
      <c r="R10" s="8"/>
      <c r="S10" s="8"/>
      <c r="T10" s="8"/>
      <c r="U10" s="8"/>
      <c r="V10" s="8"/>
      <c r="W10" s="8"/>
      <c r="X10" s="8"/>
      <c r="Y10" s="8"/>
      <c r="Z10" s="8"/>
      <c r="AA10" s="8"/>
      <c r="AB10" s="8"/>
      <c r="AC10" s="8"/>
      <c r="AD10" s="8"/>
      <c r="AE10" s="8"/>
    </row>
    <row r="11" spans="1:39" ht="12.6" customHeight="1">
      <c r="A11" s="78" t="s">
        <v>765</v>
      </c>
      <c r="B11" s="27"/>
      <c r="C11" s="27"/>
      <c r="D11" s="27"/>
      <c r="E11" s="27"/>
      <c r="F11" s="27"/>
      <c r="G11" s="27"/>
      <c r="H11" s="27"/>
      <c r="I11" s="27"/>
      <c r="J11" s="13"/>
      <c r="K11" s="27"/>
      <c r="L11" s="27"/>
      <c r="M11" s="27"/>
      <c r="N11" s="27"/>
      <c r="O11" s="13"/>
      <c r="P11" s="14"/>
      <c r="Q11" s="27"/>
      <c r="R11" s="13"/>
      <c r="S11" s="13"/>
      <c r="T11" s="13"/>
      <c r="U11" s="13"/>
      <c r="V11" s="13"/>
      <c r="X11" s="8"/>
      <c r="Y11" s="8"/>
      <c r="Z11" s="8"/>
      <c r="AA11" s="8"/>
      <c r="AC11" s="8"/>
      <c r="AD11" s="8"/>
      <c r="AE11" s="8"/>
    </row>
    <row r="12" spans="1:39" ht="12.6" customHeight="1">
      <c r="A12" s="17"/>
      <c r="B12" s="17"/>
      <c r="C12" s="17"/>
      <c r="D12" s="17"/>
      <c r="E12" s="17"/>
      <c r="F12" s="17"/>
      <c r="G12" s="17"/>
      <c r="H12" s="55"/>
      <c r="I12" s="55"/>
      <c r="J12" s="14"/>
      <c r="K12" s="17"/>
      <c r="L12" s="17"/>
      <c r="M12" s="17"/>
      <c r="N12" s="17"/>
      <c r="O12" s="14"/>
      <c r="P12" s="13"/>
      <c r="Q12" s="17"/>
      <c r="R12" s="13"/>
      <c r="S12" s="13"/>
      <c r="T12" s="14"/>
      <c r="U12" s="14"/>
      <c r="V12" s="13"/>
      <c r="W12" s="21"/>
      <c r="X12" s="8"/>
      <c r="Y12" s="8"/>
      <c r="Z12" s="8"/>
      <c r="AA12" s="8"/>
      <c r="AC12" s="8"/>
      <c r="AD12" s="8"/>
      <c r="AE12" s="8"/>
    </row>
    <row r="13" spans="1:39" ht="12.6" customHeight="1">
      <c r="A13" s="111"/>
      <c r="B13" s="112" t="s">
        <v>2183</v>
      </c>
      <c r="C13" s="112" t="s">
        <v>2231</v>
      </c>
      <c r="D13" s="88"/>
      <c r="E13" s="112" t="s">
        <v>1913</v>
      </c>
      <c r="F13" s="112" t="s">
        <v>1968</v>
      </c>
      <c r="G13" s="112" t="s">
        <v>2019</v>
      </c>
      <c r="H13" s="112" t="s">
        <v>2069</v>
      </c>
      <c r="I13" s="113"/>
      <c r="J13" s="112" t="s">
        <v>1588</v>
      </c>
      <c r="K13" s="112" t="s">
        <v>1661</v>
      </c>
      <c r="L13" s="112" t="s">
        <v>1727</v>
      </c>
      <c r="M13" s="112" t="s">
        <v>1784</v>
      </c>
      <c r="N13" s="113"/>
      <c r="O13" s="112" t="s">
        <v>1309</v>
      </c>
      <c r="P13" s="112" t="s">
        <v>1365</v>
      </c>
      <c r="Q13" s="112" t="s">
        <v>1403</v>
      </c>
      <c r="R13" s="112" t="s">
        <v>1466</v>
      </c>
      <c r="S13" s="113"/>
      <c r="T13" s="112" t="s">
        <v>1047</v>
      </c>
      <c r="U13" s="112" t="s">
        <v>1093</v>
      </c>
      <c r="V13" s="114" t="s">
        <v>1141</v>
      </c>
      <c r="W13" s="114" t="s">
        <v>1193</v>
      </c>
      <c r="X13" s="113"/>
      <c r="Y13" s="112" t="s">
        <v>561</v>
      </c>
      <c r="Z13" s="112" t="s">
        <v>787</v>
      </c>
      <c r="AA13" s="112" t="s">
        <v>825</v>
      </c>
      <c r="AB13" s="112" t="s">
        <v>826</v>
      </c>
      <c r="AC13" s="113"/>
      <c r="AD13" s="112" t="s">
        <v>404</v>
      </c>
      <c r="AE13" s="112" t="s">
        <v>405</v>
      </c>
      <c r="AF13" s="112" t="s">
        <v>406</v>
      </c>
      <c r="AG13" s="112" t="s">
        <v>407</v>
      </c>
      <c r="AH13" s="115"/>
      <c r="AI13" s="116">
        <v>2018</v>
      </c>
      <c r="AJ13" s="116">
        <v>2017</v>
      </c>
      <c r="AK13" s="116">
        <v>2016</v>
      </c>
      <c r="AL13" s="116">
        <v>2015</v>
      </c>
      <c r="AM13" s="116">
        <v>2014</v>
      </c>
    </row>
    <row r="14" spans="1:39" ht="12.6" customHeight="1">
      <c r="A14" s="117" t="s">
        <v>24</v>
      </c>
      <c r="B14" s="118">
        <v>75</v>
      </c>
      <c r="C14" s="118">
        <v>77.583152775196822</v>
      </c>
      <c r="D14" s="88"/>
      <c r="E14" s="118">
        <v>71.900000000000006</v>
      </c>
      <c r="F14" s="118">
        <v>75</v>
      </c>
      <c r="G14" s="118">
        <v>79.3</v>
      </c>
      <c r="H14" s="118">
        <v>76.7</v>
      </c>
      <c r="I14" s="113"/>
      <c r="J14" s="118">
        <v>78.8</v>
      </c>
      <c r="K14" s="118">
        <v>78.900000000000006</v>
      </c>
      <c r="L14" s="118">
        <v>79.400000000000006</v>
      </c>
      <c r="M14" s="118">
        <v>74.3</v>
      </c>
      <c r="N14" s="113"/>
      <c r="O14" s="118">
        <v>93.996060521141146</v>
      </c>
      <c r="P14" s="118">
        <v>94.620676405775967</v>
      </c>
      <c r="Q14" s="118">
        <v>91.67590497874609</v>
      </c>
      <c r="R14" s="118">
        <v>78.59695194887172</v>
      </c>
      <c r="S14" s="113"/>
      <c r="T14" s="118">
        <v>89.422375926769547</v>
      </c>
      <c r="U14" s="118">
        <v>91.081912122954151</v>
      </c>
      <c r="V14" s="118">
        <v>92.797655073648002</v>
      </c>
      <c r="W14" s="118">
        <v>94.714580629955336</v>
      </c>
      <c r="X14" s="113"/>
      <c r="Y14" s="118">
        <v>81.432500132139822</v>
      </c>
      <c r="Z14" s="118">
        <v>84.417232073694819</v>
      </c>
      <c r="AA14" s="118">
        <v>81.895302360192105</v>
      </c>
      <c r="AB14" s="118">
        <v>90.836773857654549</v>
      </c>
      <c r="AC14" s="113"/>
      <c r="AD14" s="118">
        <v>74.858999999999995</v>
      </c>
      <c r="AE14" s="118">
        <v>76.718999999999994</v>
      </c>
      <c r="AF14" s="118">
        <v>77.787000000000006</v>
      </c>
      <c r="AG14" s="118">
        <v>82.51949817091392</v>
      </c>
      <c r="AH14" s="115"/>
      <c r="AI14" s="118">
        <v>75.054254567354988</v>
      </c>
      <c r="AJ14" s="118">
        <v>71.870558044227934</v>
      </c>
      <c r="AK14" s="118">
        <v>68.640623237653671</v>
      </c>
      <c r="AL14" s="118">
        <v>61.968060481251761</v>
      </c>
      <c r="AM14" s="118">
        <v>52.64795570929234</v>
      </c>
    </row>
    <row r="15" spans="1:39" ht="12.6" customHeight="1">
      <c r="A15" s="117" t="s">
        <v>566</v>
      </c>
      <c r="B15" s="118">
        <v>25.5</v>
      </c>
      <c r="C15" s="118">
        <v>25.115964955943163</v>
      </c>
      <c r="D15" s="88"/>
      <c r="E15" s="118">
        <v>26</v>
      </c>
      <c r="F15" s="118">
        <v>25.8</v>
      </c>
      <c r="G15" s="118">
        <v>25.5</v>
      </c>
      <c r="H15" s="118">
        <v>25.7</v>
      </c>
      <c r="I15" s="113"/>
      <c r="J15" s="118">
        <v>24.1</v>
      </c>
      <c r="K15" s="118">
        <v>24.8</v>
      </c>
      <c r="L15" s="118">
        <v>25.531283802056183</v>
      </c>
      <c r="M15" s="118">
        <v>25.6</v>
      </c>
      <c r="N15" s="113"/>
      <c r="O15" s="118">
        <v>25.925159206701398</v>
      </c>
      <c r="P15" s="118">
        <v>25.705723329121263</v>
      </c>
      <c r="Q15" s="118">
        <v>25.740775701019388</v>
      </c>
      <c r="R15" s="118">
        <v>24.515809716471754</v>
      </c>
      <c r="S15" s="113"/>
      <c r="T15" s="118">
        <v>27.2965092224083</v>
      </c>
      <c r="U15" s="118">
        <v>26.837923849903039</v>
      </c>
      <c r="V15" s="118">
        <v>26.43144937370262</v>
      </c>
      <c r="W15" s="118">
        <v>26.204278810146199</v>
      </c>
      <c r="X15" s="113"/>
      <c r="Y15" s="118">
        <v>26.376520935514506</v>
      </c>
      <c r="Z15" s="118">
        <v>26.27204382231421</v>
      </c>
      <c r="AA15" s="118">
        <v>26.044440617735599</v>
      </c>
      <c r="AB15" s="118">
        <v>21.587077777704806</v>
      </c>
      <c r="AC15" s="113"/>
      <c r="AD15" s="118">
        <v>27.099</v>
      </c>
      <c r="AE15" s="118">
        <v>26.654</v>
      </c>
      <c r="AF15" s="118">
        <v>27.227</v>
      </c>
      <c r="AG15" s="118">
        <v>27.307103584999997</v>
      </c>
      <c r="AH15" s="115"/>
      <c r="AI15" s="118">
        <v>26.731013545498929</v>
      </c>
      <c r="AJ15" s="118">
        <v>25.880991820418437</v>
      </c>
      <c r="AK15" s="118">
        <v>28.18414102420445</v>
      </c>
      <c r="AL15" s="118">
        <v>28.046872971451705</v>
      </c>
      <c r="AM15" s="118">
        <v>24.944347894476252</v>
      </c>
    </row>
    <row r="16" spans="1:39" ht="12.6" customHeight="1">
      <c r="A16" s="119" t="s">
        <v>567</v>
      </c>
      <c r="B16" s="118">
        <v>114.8</v>
      </c>
      <c r="C16" s="118">
        <v>112.79096469662611</v>
      </c>
      <c r="D16" s="88"/>
      <c r="E16" s="118">
        <v>114.4</v>
      </c>
      <c r="F16" s="118">
        <v>102.9</v>
      </c>
      <c r="G16" s="118">
        <v>107.7</v>
      </c>
      <c r="H16" s="118">
        <v>108.1</v>
      </c>
      <c r="I16" s="113"/>
      <c r="J16" s="118">
        <v>118.3702814771342</v>
      </c>
      <c r="K16" s="118">
        <v>119.26643090855714</v>
      </c>
      <c r="L16" s="118">
        <v>115.56130764199887</v>
      </c>
      <c r="M16" s="118">
        <v>117.4</v>
      </c>
      <c r="N16" s="113"/>
      <c r="O16" s="118">
        <v>108.80451789812187</v>
      </c>
      <c r="P16" s="118">
        <v>106.58582396404276</v>
      </c>
      <c r="Q16" s="118">
        <v>103.8458447834944</v>
      </c>
      <c r="R16" s="118">
        <v>119.62284263475918</v>
      </c>
      <c r="S16" s="113"/>
      <c r="T16" s="118">
        <v>91.857489399689058</v>
      </c>
      <c r="U16" s="118">
        <v>89.920059155583928</v>
      </c>
      <c r="V16" s="118">
        <v>86.729136949352409</v>
      </c>
      <c r="W16" s="118">
        <v>110.78089141907719</v>
      </c>
      <c r="X16" s="113"/>
      <c r="Y16" s="118">
        <v>77.156281160352691</v>
      </c>
      <c r="Z16" s="118">
        <v>77.396601341673616</v>
      </c>
      <c r="AA16" s="118">
        <v>78.85761006437761</v>
      </c>
      <c r="AB16" s="118">
        <v>91.861509893821705</v>
      </c>
      <c r="AC16" s="113"/>
      <c r="AD16" s="118">
        <v>71.641999999999996</v>
      </c>
      <c r="AE16" s="118">
        <v>68.515000000000001</v>
      </c>
      <c r="AF16" s="118">
        <v>67.276028944627697</v>
      </c>
      <c r="AG16" s="118">
        <v>84.540107318172147</v>
      </c>
      <c r="AH16" s="115"/>
      <c r="AI16" s="118">
        <v>69.585136413664827</v>
      </c>
      <c r="AJ16" s="118">
        <v>77.508535475834762</v>
      </c>
      <c r="AK16" s="118">
        <v>80.721073989598366</v>
      </c>
      <c r="AL16" s="118">
        <v>97.712024738842473</v>
      </c>
      <c r="AM16" s="118">
        <v>112.53444092571652</v>
      </c>
    </row>
    <row r="17" spans="1:39" ht="12.6" customHeight="1">
      <c r="A17" s="119" t="s">
        <v>8</v>
      </c>
      <c r="B17" s="118">
        <v>29.9</v>
      </c>
      <c r="C17" s="118">
        <v>31.110519011440928</v>
      </c>
      <c r="D17" s="88"/>
      <c r="E17" s="118">
        <v>29.8</v>
      </c>
      <c r="F17" s="118">
        <v>29.7</v>
      </c>
      <c r="G17" s="118">
        <v>29.2</v>
      </c>
      <c r="H17" s="118">
        <v>28.4</v>
      </c>
      <c r="I17" s="113"/>
      <c r="J17" s="118">
        <v>34.6</v>
      </c>
      <c r="K17" s="118">
        <v>33.340527510421673</v>
      </c>
      <c r="L17" s="118">
        <v>32.5</v>
      </c>
      <c r="M17" s="118">
        <v>33.1</v>
      </c>
      <c r="N17" s="113"/>
      <c r="O17" s="118">
        <v>35.423553474467383</v>
      </c>
      <c r="P17" s="118">
        <v>35.258651705568788</v>
      </c>
      <c r="Q17" s="118">
        <v>34.676430862527624</v>
      </c>
      <c r="R17" s="118">
        <v>35.200000000000003</v>
      </c>
      <c r="S17" s="113"/>
      <c r="T17" s="118">
        <v>32.687190671356404</v>
      </c>
      <c r="U17" s="118">
        <v>33.098829691335887</v>
      </c>
      <c r="V17" s="118">
        <v>34.266153189870991</v>
      </c>
      <c r="W17" s="118">
        <v>35.187030894146147</v>
      </c>
      <c r="X17" s="113"/>
      <c r="Y17" s="118">
        <v>31.429159573759623</v>
      </c>
      <c r="Z17" s="118">
        <v>30.697082540280686</v>
      </c>
      <c r="AA17" s="118">
        <v>30.965157305925352</v>
      </c>
      <c r="AB17" s="118">
        <v>31.27579281403283</v>
      </c>
      <c r="AC17" s="113"/>
      <c r="AD17" s="118">
        <v>32.295999999999999</v>
      </c>
      <c r="AE17" s="118">
        <v>32.682000000000002</v>
      </c>
      <c r="AF17" s="118">
        <v>31.5264897009103</v>
      </c>
      <c r="AG17" s="118">
        <v>32.531553053017625</v>
      </c>
      <c r="AH17" s="115"/>
      <c r="AI17" s="118">
        <v>33.323995626655964</v>
      </c>
      <c r="AJ17" s="118">
        <v>37.880347987865399</v>
      </c>
      <c r="AK17" s="118">
        <v>46.773394695198256</v>
      </c>
      <c r="AL17" s="118">
        <v>53.40484237944294</v>
      </c>
      <c r="AM17" s="118">
        <v>61.620672286527117</v>
      </c>
    </row>
    <row r="18" spans="1:39" ht="12.6" customHeight="1">
      <c r="A18" s="119" t="s">
        <v>568</v>
      </c>
      <c r="B18" s="118">
        <v>93.2</v>
      </c>
      <c r="C18" s="118">
        <v>99.109470952387952</v>
      </c>
      <c r="D18" s="88"/>
      <c r="E18" s="118">
        <v>88.1</v>
      </c>
      <c r="F18" s="118">
        <v>92.9</v>
      </c>
      <c r="G18" s="118">
        <v>92.9</v>
      </c>
      <c r="H18" s="118">
        <v>97.2</v>
      </c>
      <c r="I18" s="113"/>
      <c r="J18" s="118">
        <v>82.661886326245067</v>
      </c>
      <c r="K18" s="118">
        <v>82.8</v>
      </c>
      <c r="L18" s="118">
        <v>83.1</v>
      </c>
      <c r="M18" s="118">
        <v>87.5</v>
      </c>
      <c r="N18" s="113"/>
      <c r="O18" s="118">
        <v>82.977006983005879</v>
      </c>
      <c r="P18" s="118">
        <v>82.791312402156379</v>
      </c>
      <c r="Q18" s="118">
        <v>84.538104482366435</v>
      </c>
      <c r="R18" s="118">
        <v>81.085505456453745</v>
      </c>
      <c r="S18" s="113"/>
      <c r="T18" s="118">
        <v>78.883853304354759</v>
      </c>
      <c r="U18" s="118">
        <v>82.180626743268093</v>
      </c>
      <c r="V18" s="118">
        <v>81.997298490752172</v>
      </c>
      <c r="W18" s="118">
        <v>83.193498818331349</v>
      </c>
      <c r="X18" s="113"/>
      <c r="Y18" s="118">
        <v>60.84074507637191</v>
      </c>
      <c r="Z18" s="118">
        <v>74.288002520771528</v>
      </c>
      <c r="AA18" s="118">
        <v>72.778434994533285</v>
      </c>
      <c r="AB18" s="118">
        <v>78.17618081388818</v>
      </c>
      <c r="AC18" s="113"/>
      <c r="AD18" s="118">
        <v>67.680000000000007</v>
      </c>
      <c r="AE18" s="118">
        <v>64.039000000000001</v>
      </c>
      <c r="AF18" s="118">
        <v>63.472999999999999</v>
      </c>
      <c r="AG18" s="118">
        <v>63.574637889247747</v>
      </c>
      <c r="AH18" s="115"/>
      <c r="AI18" s="118">
        <v>68.887865075175199</v>
      </c>
      <c r="AJ18" s="118">
        <v>64.398618797331707</v>
      </c>
      <c r="AK18" s="118">
        <v>53.264632654986272</v>
      </c>
      <c r="AL18" s="118">
        <v>40.706849890803888</v>
      </c>
      <c r="AM18" s="118">
        <v>39.708808268060132</v>
      </c>
    </row>
    <row r="19" spans="1:39" ht="12.6" customHeight="1">
      <c r="A19" s="119" t="s">
        <v>569</v>
      </c>
      <c r="B19" s="118">
        <v>8.4</v>
      </c>
      <c r="C19" s="118">
        <v>9.2937266463796373</v>
      </c>
      <c r="D19" s="88"/>
      <c r="E19" s="118">
        <v>10.6</v>
      </c>
      <c r="F19" s="118">
        <v>10.6</v>
      </c>
      <c r="G19" s="118">
        <v>9.8000000000000007</v>
      </c>
      <c r="H19" s="118">
        <v>8.9</v>
      </c>
      <c r="I19" s="113"/>
      <c r="J19" s="118">
        <v>8.8135717810159182</v>
      </c>
      <c r="K19" s="118">
        <v>9.5926828297498279</v>
      </c>
      <c r="L19" s="118">
        <v>9.2931226375388842</v>
      </c>
      <c r="M19" s="118">
        <v>11.9</v>
      </c>
      <c r="N19" s="113"/>
      <c r="O19" s="118">
        <v>16.095263814891961</v>
      </c>
      <c r="P19" s="118">
        <v>15.279409629739522</v>
      </c>
      <c r="Q19" s="118">
        <v>11.608789504309469</v>
      </c>
      <c r="R19" s="118">
        <v>9.9372301971302193</v>
      </c>
      <c r="S19" s="113"/>
      <c r="T19" s="118">
        <v>15.50941541171496</v>
      </c>
      <c r="U19" s="118">
        <v>15.588136599486123</v>
      </c>
      <c r="V19" s="118">
        <v>15.754254410595925</v>
      </c>
      <c r="W19" s="118">
        <v>17.03487282408468</v>
      </c>
      <c r="X19" s="113"/>
      <c r="Y19" s="118">
        <v>16.854503183552815</v>
      </c>
      <c r="Z19" s="118">
        <v>17.108720554822764</v>
      </c>
      <c r="AA19" s="118">
        <v>18.557753515495381</v>
      </c>
      <c r="AB19" s="118">
        <v>16.497633134222575</v>
      </c>
      <c r="AC19" s="113"/>
      <c r="AD19" s="118">
        <v>18.018999999999998</v>
      </c>
      <c r="AE19" s="118">
        <v>18.724</v>
      </c>
      <c r="AF19" s="118">
        <v>18.318000000000001</v>
      </c>
      <c r="AG19" s="118">
        <v>18.08359669391556</v>
      </c>
      <c r="AH19" s="115"/>
      <c r="AI19" s="118">
        <v>18.600164013031957</v>
      </c>
      <c r="AJ19" s="118">
        <v>17.68922979175538</v>
      </c>
      <c r="AK19" s="118">
        <v>14.767881504125553</v>
      </c>
      <c r="AL19" s="118">
        <v>12.582451691433025</v>
      </c>
      <c r="AM19" s="118">
        <v>14.808453697779147</v>
      </c>
    </row>
    <row r="20" spans="1:39" ht="12.6" customHeight="1">
      <c r="A20" s="119" t="s">
        <v>25</v>
      </c>
      <c r="B20" s="118">
        <v>556.1</v>
      </c>
      <c r="C20" s="118">
        <v>578.6501118924823</v>
      </c>
      <c r="D20" s="88"/>
      <c r="E20" s="118">
        <v>539</v>
      </c>
      <c r="F20" s="118">
        <v>562.29999999999995</v>
      </c>
      <c r="G20" s="118">
        <v>554.4</v>
      </c>
      <c r="H20" s="118">
        <v>570.1</v>
      </c>
      <c r="I20" s="113"/>
      <c r="J20" s="118">
        <v>522.54274903027124</v>
      </c>
      <c r="K20" s="118">
        <f>579.1</f>
        <v>579.1</v>
      </c>
      <c r="L20" s="118">
        <v>566.5</v>
      </c>
      <c r="M20" s="118">
        <v>554.29999999999995</v>
      </c>
      <c r="N20" s="113"/>
      <c r="O20" s="118">
        <v>572.5264240712105</v>
      </c>
      <c r="P20" s="118">
        <v>553.19215921343687</v>
      </c>
      <c r="Q20" s="118">
        <v>537.03149007273646</v>
      </c>
      <c r="R20" s="118">
        <v>529.449397888014</v>
      </c>
      <c r="S20" s="113"/>
      <c r="T20" s="118">
        <v>596.75749103995304</v>
      </c>
      <c r="U20" s="118">
        <v>581.16083589395055</v>
      </c>
      <c r="V20" s="118">
        <v>580.35734463379629</v>
      </c>
      <c r="W20" s="118">
        <v>588.93211733350859</v>
      </c>
      <c r="X20" s="113"/>
      <c r="Y20" s="118">
        <v>637.23614493909304</v>
      </c>
      <c r="Z20" s="118">
        <v>630.26898995966474</v>
      </c>
      <c r="AA20" s="118">
        <v>618.62114289570218</v>
      </c>
      <c r="AB20" s="118">
        <v>605.15498815888589</v>
      </c>
      <c r="AC20" s="113"/>
      <c r="AD20" s="118">
        <v>640.42200000000003</v>
      </c>
      <c r="AE20" s="118">
        <v>650.6</v>
      </c>
      <c r="AF20" s="118">
        <v>635.43068327403705</v>
      </c>
      <c r="AG20" s="118">
        <v>640.3648875159023</v>
      </c>
      <c r="AH20" s="115"/>
      <c r="AI20" s="118">
        <v>666.95105309654855</v>
      </c>
      <c r="AJ20" s="118">
        <v>691.053443735369</v>
      </c>
      <c r="AK20" s="118">
        <v>717.72907967600554</v>
      </c>
      <c r="AL20" s="118">
        <v>767.16289710580804</v>
      </c>
      <c r="AM20" s="118">
        <v>827.45682648489219</v>
      </c>
    </row>
    <row r="21" spans="1:39" ht="12.6" customHeight="1">
      <c r="A21" s="119" t="s">
        <v>92</v>
      </c>
      <c r="B21" s="118">
        <v>41.2</v>
      </c>
      <c r="C21" s="118">
        <v>40.735257212408762</v>
      </c>
      <c r="D21" s="88"/>
      <c r="E21" s="118">
        <v>47.1</v>
      </c>
      <c r="F21" s="118">
        <v>46.1</v>
      </c>
      <c r="G21" s="118">
        <v>41.9</v>
      </c>
      <c r="H21" s="118">
        <v>41.6</v>
      </c>
      <c r="I21" s="113"/>
      <c r="J21" s="118">
        <v>47.778632316338275</v>
      </c>
      <c r="K21" s="118">
        <v>47.575774513568412</v>
      </c>
      <c r="L21" s="118">
        <v>47.07373999407119</v>
      </c>
      <c r="M21" s="118">
        <v>47.7</v>
      </c>
      <c r="N21" s="113"/>
      <c r="O21" s="118">
        <v>51.828626778054883</v>
      </c>
      <c r="P21" s="118">
        <v>50.678561569183167</v>
      </c>
      <c r="Q21" s="118">
        <v>47.222067656899711</v>
      </c>
      <c r="R21" s="118">
        <v>48.93353676590295</v>
      </c>
      <c r="S21" s="113"/>
      <c r="T21" s="118">
        <v>55.362229080537219</v>
      </c>
      <c r="U21" s="118">
        <v>52.49632465378982</v>
      </c>
      <c r="V21" s="118">
        <v>51.569799714768187</v>
      </c>
      <c r="W21" s="118">
        <v>53.411488819127925</v>
      </c>
      <c r="X21" s="113"/>
      <c r="Y21" s="118">
        <v>59.31036052330208</v>
      </c>
      <c r="Z21" s="118">
        <v>58.885091502369349</v>
      </c>
      <c r="AA21" s="118">
        <v>57.889800454619753</v>
      </c>
      <c r="AB21" s="118">
        <v>57.416000231421165</v>
      </c>
      <c r="AC21" s="113"/>
      <c r="AD21" s="118">
        <v>58.844000000000001</v>
      </c>
      <c r="AE21" s="118">
        <v>58.073999999999998</v>
      </c>
      <c r="AF21" s="118">
        <v>58.103000000000002</v>
      </c>
      <c r="AG21" s="118">
        <v>59.677138195777502</v>
      </c>
      <c r="AH21" s="115"/>
      <c r="AI21" s="118">
        <v>55.289727551440308</v>
      </c>
      <c r="AJ21" s="118">
        <v>53.426077299046746</v>
      </c>
      <c r="AK21" s="118">
        <v>58.428448415952772</v>
      </c>
      <c r="AL21" s="118">
        <v>65.02338075840801</v>
      </c>
      <c r="AM21" s="118">
        <v>64.474557336429328</v>
      </c>
    </row>
    <row r="22" spans="1:39" ht="12.6" customHeight="1">
      <c r="A22" s="120" t="s">
        <v>576</v>
      </c>
      <c r="B22" s="121">
        <f>SUM(B14:B21)</f>
        <v>944.10000000000014</v>
      </c>
      <c r="C22" s="121">
        <f>SUM(C14:C21)</f>
        <v>974.38916814286574</v>
      </c>
      <c r="D22" s="88"/>
      <c r="E22" s="121">
        <v>926.80000000000007</v>
      </c>
      <c r="F22" s="121">
        <v>945.09999999999991</v>
      </c>
      <c r="G22" s="121">
        <v>940.6</v>
      </c>
      <c r="H22" s="121">
        <f>SUM(H14:H21)</f>
        <v>956.7</v>
      </c>
      <c r="I22" s="113"/>
      <c r="J22" s="121">
        <v>920.45409178797809</v>
      </c>
      <c r="K22" s="121">
        <f>SUM(K14:K21)</f>
        <v>975.37541576229705</v>
      </c>
      <c r="L22" s="121">
        <v>957.48026301466427</v>
      </c>
      <c r="M22" s="121">
        <f>SUM(M14:M21)</f>
        <v>951.8</v>
      </c>
      <c r="N22" s="113"/>
      <c r="O22" s="121">
        <v>987.57661274759562</v>
      </c>
      <c r="P22" s="121">
        <v>964.1123182190247</v>
      </c>
      <c r="Q22" s="121">
        <v>936.33940804209954</v>
      </c>
      <c r="R22" s="121">
        <f>SUM(R14:R21)</f>
        <v>927.34127460760362</v>
      </c>
      <c r="S22" s="113"/>
      <c r="T22" s="121">
        <v>987.77655405678343</v>
      </c>
      <c r="U22" s="121">
        <v>972.36464871027169</v>
      </c>
      <c r="V22" s="121">
        <v>969.90309183648674</v>
      </c>
      <c r="W22" s="121">
        <v>1009.4587595483774</v>
      </c>
      <c r="X22" s="122"/>
      <c r="Y22" s="121">
        <v>990.63621552408654</v>
      </c>
      <c r="Z22" s="121">
        <v>999.33376431559179</v>
      </c>
      <c r="AA22" s="121">
        <v>985.60964220858136</v>
      </c>
      <c r="AB22" s="121">
        <v>992.80595668163232</v>
      </c>
      <c r="AC22" s="113"/>
      <c r="AD22" s="121">
        <f>SUM(AD14:AD21)</f>
        <v>990.8610000000001</v>
      </c>
      <c r="AE22" s="121">
        <f>SUM(AE14:AE21)</f>
        <v>996.00699999999995</v>
      </c>
      <c r="AF22" s="121">
        <f>SUM(AF14:AF21)</f>
        <v>979.141201919575</v>
      </c>
      <c r="AG22" s="121">
        <v>1008.5985224219468</v>
      </c>
      <c r="AH22" s="115"/>
      <c r="AI22" s="121">
        <v>1014.4232098893708</v>
      </c>
      <c r="AJ22" s="121">
        <v>1039.7078029518493</v>
      </c>
      <c r="AK22" s="121">
        <v>1068.5092751977249</v>
      </c>
      <c r="AL22" s="121">
        <v>1126.6073800174418</v>
      </c>
      <c r="AM22" s="121">
        <v>1198.196062603173</v>
      </c>
    </row>
    <row r="23" spans="1:39" ht="12.6" customHeight="1">
      <c r="A23" s="123"/>
      <c r="B23" s="124"/>
      <c r="C23" s="124"/>
      <c r="D23" s="88"/>
      <c r="E23" s="124"/>
      <c r="F23" s="124"/>
      <c r="G23" s="124"/>
      <c r="H23" s="124"/>
      <c r="I23" s="122"/>
      <c r="J23" s="124"/>
      <c r="K23" s="124"/>
      <c r="L23" s="124"/>
      <c r="M23" s="124"/>
      <c r="N23" s="122"/>
      <c r="O23" s="124"/>
      <c r="P23" s="124"/>
      <c r="Q23" s="124"/>
      <c r="R23" s="125"/>
      <c r="S23" s="122"/>
      <c r="T23" s="122"/>
      <c r="U23" s="122"/>
      <c r="V23" s="122"/>
      <c r="W23" s="126"/>
      <c r="X23" s="122"/>
      <c r="Y23" s="122"/>
      <c r="Z23" s="122"/>
      <c r="AA23" s="122"/>
      <c r="AB23" s="122"/>
      <c r="AC23" s="122"/>
      <c r="AD23" s="122"/>
      <c r="AE23" s="77"/>
      <c r="AF23" s="88"/>
      <c r="AG23" s="115"/>
      <c r="AH23" s="115"/>
      <c r="AI23" s="115"/>
      <c r="AJ23" s="115"/>
      <c r="AK23" s="88"/>
      <c r="AL23" s="115"/>
      <c r="AM23" s="115"/>
    </row>
    <row r="24" spans="1:39" ht="12.6" customHeight="1">
      <c r="A24" s="119" t="s">
        <v>577</v>
      </c>
      <c r="B24" s="118">
        <v>274.3</v>
      </c>
      <c r="C24" s="118">
        <v>278.99648738788989</v>
      </c>
      <c r="D24" s="92"/>
      <c r="E24" s="118">
        <v>235.6</v>
      </c>
      <c r="F24" s="118">
        <v>241</v>
      </c>
      <c r="G24" s="118">
        <v>248.6</v>
      </c>
      <c r="H24" s="118">
        <v>260.89999999999998</v>
      </c>
      <c r="I24" s="122"/>
      <c r="J24" s="118">
        <v>217.1</v>
      </c>
      <c r="K24" s="118">
        <v>218.169178109</v>
      </c>
      <c r="L24" s="118">
        <v>223.65167836200001</v>
      </c>
      <c r="M24" s="118">
        <v>228.8</v>
      </c>
      <c r="N24" s="122"/>
      <c r="O24" s="118">
        <v>186.2</v>
      </c>
      <c r="P24" s="118">
        <v>193.2</v>
      </c>
      <c r="Q24" s="118">
        <v>200.3</v>
      </c>
      <c r="R24" s="118">
        <v>207.3</v>
      </c>
      <c r="S24" s="122"/>
      <c r="T24" s="127" t="s">
        <v>45</v>
      </c>
      <c r="U24" s="127" t="s">
        <v>45</v>
      </c>
      <c r="V24" s="127" t="s">
        <v>45</v>
      </c>
      <c r="W24" s="118">
        <v>179.2</v>
      </c>
      <c r="X24" s="122"/>
      <c r="Y24" s="127" t="s">
        <v>45</v>
      </c>
      <c r="Z24" s="127" t="s">
        <v>45</v>
      </c>
      <c r="AA24" s="127" t="s">
        <v>45</v>
      </c>
      <c r="AB24" s="127" t="s">
        <v>45</v>
      </c>
      <c r="AC24" s="122"/>
      <c r="AD24" s="118">
        <v>130.05581052350098</v>
      </c>
      <c r="AE24" s="118">
        <v>137.2517</v>
      </c>
      <c r="AF24" s="118">
        <v>137.71706287510793</v>
      </c>
      <c r="AG24" s="118">
        <v>146.09941551191349</v>
      </c>
      <c r="AH24" s="115"/>
      <c r="AI24" s="118">
        <v>120.10787625095978</v>
      </c>
      <c r="AJ24" s="118">
        <v>107.30999684246471</v>
      </c>
      <c r="AK24" s="118">
        <v>105.5601033590211</v>
      </c>
      <c r="AL24" s="118">
        <v>99.903325152416869</v>
      </c>
      <c r="AM24" s="118">
        <v>116.80933456528562</v>
      </c>
    </row>
    <row r="25" spans="1:39" ht="12.6" customHeight="1">
      <c r="A25" s="120" t="s">
        <v>578</v>
      </c>
      <c r="B25" s="121">
        <v>1218.4000000000001</v>
      </c>
      <c r="C25" s="121">
        <f>C22+C24</f>
        <v>1253.3856555307557</v>
      </c>
      <c r="D25" s="92"/>
      <c r="E25" s="121">
        <v>1162.4000000000001</v>
      </c>
      <c r="F25" s="121">
        <v>1186.0999999999999</v>
      </c>
      <c r="G25" s="121">
        <v>1189.2</v>
      </c>
      <c r="H25" s="121">
        <f>H24+H22</f>
        <v>1217.5999999999999</v>
      </c>
      <c r="I25" s="122"/>
      <c r="J25" s="121">
        <v>1134.7</v>
      </c>
      <c r="K25" s="121">
        <v>1193.5</v>
      </c>
      <c r="L25" s="121">
        <v>1182.5999999999999</v>
      </c>
      <c r="M25" s="121">
        <v>1180.5999999999999</v>
      </c>
      <c r="N25" s="122"/>
      <c r="O25" s="121">
        <v>1173.7</v>
      </c>
      <c r="P25" s="121">
        <f t="shared" ref="P25:R25" si="0">P24+P22</f>
        <v>1157.3123182190247</v>
      </c>
      <c r="Q25" s="121">
        <f t="shared" si="0"/>
        <v>1136.6394080420996</v>
      </c>
      <c r="R25" s="121">
        <f t="shared" si="0"/>
        <v>1134.6412746076037</v>
      </c>
      <c r="S25" s="122"/>
      <c r="T25" s="128" t="s">
        <v>45</v>
      </c>
      <c r="U25" s="128" t="s">
        <v>45</v>
      </c>
      <c r="V25" s="128" t="s">
        <v>45</v>
      </c>
      <c r="W25" s="121">
        <f t="shared" ref="W25" si="1">W24+W22</f>
        <v>1188.6587595483775</v>
      </c>
      <c r="X25" s="122"/>
      <c r="Y25" s="128" t="s">
        <v>45</v>
      </c>
      <c r="Z25" s="128" t="s">
        <v>45</v>
      </c>
      <c r="AA25" s="128" t="s">
        <v>45</v>
      </c>
      <c r="AB25" s="128" t="s">
        <v>45</v>
      </c>
      <c r="AC25" s="122"/>
      <c r="AD25" s="121">
        <f>AD22+AD24</f>
        <v>1120.916810523501</v>
      </c>
      <c r="AE25" s="121">
        <f>AE22+AE24</f>
        <v>1133.2586999999999</v>
      </c>
      <c r="AF25" s="121">
        <f>AF22+AF24</f>
        <v>1116.858264794683</v>
      </c>
      <c r="AG25" s="121">
        <f>AG22+AG24</f>
        <v>1154.6979379338602</v>
      </c>
      <c r="AH25" s="115"/>
      <c r="AI25" s="121">
        <f>AI24+AI22</f>
        <v>1134.5310861403307</v>
      </c>
      <c r="AJ25" s="121">
        <f t="shared" ref="AJ25:AM25" si="2">AJ24+AJ22</f>
        <v>1147.017799794314</v>
      </c>
      <c r="AK25" s="121">
        <f t="shared" si="2"/>
        <v>1174.069378556746</v>
      </c>
      <c r="AL25" s="121">
        <f t="shared" si="2"/>
        <v>1226.5107051698587</v>
      </c>
      <c r="AM25" s="121">
        <f t="shared" si="2"/>
        <v>1315.0053971684586</v>
      </c>
    </row>
    <row r="26" spans="1:39" ht="12.6" customHeight="1">
      <c r="B26" s="13"/>
      <c r="C26" s="13"/>
      <c r="D26" s="13"/>
      <c r="E26" s="13"/>
      <c r="F26" s="13"/>
      <c r="G26" s="13"/>
      <c r="H26" s="13"/>
      <c r="I26" s="14"/>
      <c r="J26" s="52"/>
      <c r="K26" s="52"/>
      <c r="L26" s="13"/>
      <c r="M26" s="13"/>
      <c r="N26" s="13"/>
      <c r="O26" s="13"/>
      <c r="P26" s="13"/>
      <c r="Q26" s="13"/>
      <c r="R26" s="13"/>
      <c r="S26" s="13"/>
      <c r="T26" s="13"/>
      <c r="U26" s="13"/>
      <c r="V26" s="13"/>
      <c r="W26" s="13"/>
      <c r="X26" s="13"/>
      <c r="Y26" s="13"/>
      <c r="Z26" s="13"/>
      <c r="AA26" s="10"/>
      <c r="AC26" s="8"/>
      <c r="AD26" s="8"/>
      <c r="AE26" s="8"/>
      <c r="AF26" s="8"/>
      <c r="AH26" s="8"/>
      <c r="AI26" s="8"/>
      <c r="AJ26" s="8"/>
    </row>
    <row r="27" spans="1:39" ht="12.6" customHeight="1">
      <c r="A27" s="78" t="s">
        <v>766</v>
      </c>
      <c r="P27" s="39"/>
      <c r="R27" s="39"/>
      <c r="AC27" s="39"/>
      <c r="AD27" s="39"/>
      <c r="AJ27" s="8"/>
    </row>
    <row r="28" spans="1:39" ht="12.6" customHeight="1">
      <c r="AJ28" s="8"/>
    </row>
    <row r="29" spans="1:39" ht="12.6" customHeight="1">
      <c r="A29" s="111"/>
      <c r="B29" s="112" t="s">
        <v>2183</v>
      </c>
      <c r="C29" s="112" t="s">
        <v>2231</v>
      </c>
      <c r="D29" s="88"/>
      <c r="E29" s="112" t="s">
        <v>1913</v>
      </c>
      <c r="F29" s="112" t="s">
        <v>1968</v>
      </c>
      <c r="G29" s="112" t="s">
        <v>2019</v>
      </c>
      <c r="H29" s="112" t="s">
        <v>2069</v>
      </c>
      <c r="I29" s="113"/>
      <c r="J29" s="112" t="s">
        <v>1588</v>
      </c>
      <c r="K29" s="112" t="s">
        <v>1661</v>
      </c>
      <c r="L29" s="112" t="s">
        <v>1727</v>
      </c>
      <c r="M29" s="112" t="s">
        <v>1784</v>
      </c>
      <c r="N29" s="113"/>
      <c r="O29" s="112" t="s">
        <v>1309</v>
      </c>
      <c r="P29" s="112" t="s">
        <v>1365</v>
      </c>
      <c r="Q29" s="112" t="s">
        <v>1403</v>
      </c>
      <c r="R29" s="112" t="s">
        <v>1466</v>
      </c>
      <c r="S29" s="113"/>
      <c r="T29" s="112" t="s">
        <v>1047</v>
      </c>
      <c r="U29" s="112" t="s">
        <v>1093</v>
      </c>
      <c r="V29" s="114" t="s">
        <v>1141</v>
      </c>
      <c r="W29" s="114" t="s">
        <v>1193</v>
      </c>
      <c r="X29" s="113"/>
      <c r="Y29" s="112" t="s">
        <v>561</v>
      </c>
      <c r="Z29" s="112" t="s">
        <v>787</v>
      </c>
      <c r="AA29" s="112" t="s">
        <v>825</v>
      </c>
      <c r="AB29" s="112" t="s">
        <v>826</v>
      </c>
      <c r="AC29" s="113"/>
      <c r="AD29" s="112" t="s">
        <v>404</v>
      </c>
      <c r="AE29" s="112" t="s">
        <v>405</v>
      </c>
      <c r="AF29" s="112" t="s">
        <v>406</v>
      </c>
      <c r="AG29" s="112" t="s">
        <v>407</v>
      </c>
      <c r="AH29" s="115"/>
      <c r="AI29" s="116">
        <v>2018</v>
      </c>
      <c r="AJ29" s="116">
        <v>2017</v>
      </c>
      <c r="AK29" s="116">
        <v>2016</v>
      </c>
    </row>
    <row r="30" spans="1:39" ht="12.6" customHeight="1">
      <c r="A30" s="129">
        <v>2025</v>
      </c>
      <c r="B30" s="130">
        <v>43.6</v>
      </c>
      <c r="C30" s="130">
        <v>109.20787059538479</v>
      </c>
      <c r="D30" s="88"/>
      <c r="E30" s="131"/>
      <c r="F30" s="132"/>
      <c r="G30" s="132"/>
      <c r="H30" s="133"/>
      <c r="I30" s="88"/>
      <c r="J30" s="131"/>
      <c r="K30" s="132"/>
      <c r="L30" s="132"/>
      <c r="M30" s="133"/>
      <c r="N30" s="88"/>
      <c r="O30" s="131"/>
      <c r="P30" s="132"/>
      <c r="Q30" s="132"/>
      <c r="R30" s="133"/>
      <c r="S30" s="88"/>
      <c r="T30" s="131"/>
      <c r="U30" s="132"/>
      <c r="V30" s="132"/>
      <c r="W30" s="133"/>
      <c r="X30" s="88"/>
      <c r="Y30" s="131"/>
      <c r="Z30" s="132"/>
      <c r="AA30" s="132"/>
      <c r="AB30" s="133"/>
      <c r="AC30" s="88"/>
      <c r="AD30" s="131"/>
      <c r="AE30" s="132"/>
      <c r="AF30" s="132"/>
      <c r="AG30" s="133"/>
      <c r="AH30" s="88"/>
      <c r="AI30" s="134"/>
      <c r="AJ30" s="135"/>
      <c r="AK30" s="133"/>
    </row>
    <row r="31" spans="1:39" ht="12.6" customHeight="1">
      <c r="A31" s="129">
        <v>2024</v>
      </c>
      <c r="B31" s="130">
        <v>183.7</v>
      </c>
      <c r="C31" s="130">
        <v>178.40758106580356</v>
      </c>
      <c r="D31" s="88"/>
      <c r="E31" s="130">
        <v>39.9</v>
      </c>
      <c r="F31" s="130">
        <v>108</v>
      </c>
      <c r="G31" s="130">
        <v>140.4</v>
      </c>
      <c r="H31" s="130">
        <v>188.5</v>
      </c>
      <c r="I31" s="88"/>
      <c r="J31" s="131"/>
      <c r="K31" s="132"/>
      <c r="L31" s="132"/>
      <c r="M31" s="133"/>
      <c r="N31" s="88"/>
      <c r="O31" s="131"/>
      <c r="P31" s="132"/>
      <c r="Q31" s="132"/>
      <c r="R31" s="133"/>
      <c r="S31" s="88"/>
      <c r="T31" s="131"/>
      <c r="U31" s="132"/>
      <c r="V31" s="132"/>
      <c r="W31" s="133"/>
      <c r="X31" s="88"/>
      <c r="Y31" s="131"/>
      <c r="Z31" s="132"/>
      <c r="AA31" s="132"/>
      <c r="AB31" s="133"/>
      <c r="AC31" s="88"/>
      <c r="AD31" s="131"/>
      <c r="AE31" s="132"/>
      <c r="AF31" s="132"/>
      <c r="AG31" s="133"/>
      <c r="AH31" s="88"/>
      <c r="AI31" s="134"/>
      <c r="AJ31" s="135"/>
      <c r="AK31" s="133"/>
    </row>
    <row r="32" spans="1:39" ht="12.6" customHeight="1">
      <c r="A32" s="129">
        <v>2023</v>
      </c>
      <c r="B32" s="130">
        <v>164.9</v>
      </c>
      <c r="C32" s="130">
        <v>158.022699318142</v>
      </c>
      <c r="D32" s="88"/>
      <c r="E32" s="130">
        <v>186.1</v>
      </c>
      <c r="F32" s="130">
        <v>181.7</v>
      </c>
      <c r="G32" s="130">
        <v>176.8</v>
      </c>
      <c r="H32" s="130">
        <v>171.7</v>
      </c>
      <c r="I32" s="88"/>
      <c r="J32" s="130">
        <v>29.1074828900793</v>
      </c>
      <c r="K32" s="130">
        <f>60.4221087494443+49.48085</f>
        <v>109.90295874944429</v>
      </c>
      <c r="L32" s="130">
        <v>153.85729282862155</v>
      </c>
      <c r="M32" s="130">
        <v>189.1</v>
      </c>
      <c r="N32" s="88"/>
      <c r="O32" s="131"/>
      <c r="P32" s="132"/>
      <c r="Q32" s="132"/>
      <c r="R32" s="133"/>
      <c r="S32" s="88"/>
      <c r="T32" s="131"/>
      <c r="U32" s="132"/>
      <c r="V32" s="132"/>
      <c r="W32" s="133"/>
      <c r="X32" s="88"/>
      <c r="Y32" s="131"/>
      <c r="Z32" s="132"/>
      <c r="AA32" s="132"/>
      <c r="AB32" s="133"/>
      <c r="AC32" s="88"/>
      <c r="AD32" s="131"/>
      <c r="AE32" s="132"/>
      <c r="AF32" s="132"/>
      <c r="AG32" s="133"/>
      <c r="AH32" s="88"/>
      <c r="AI32" s="134"/>
      <c r="AJ32" s="135"/>
      <c r="AK32" s="133"/>
    </row>
    <row r="33" spans="1:39" ht="12.6" customHeight="1">
      <c r="A33" s="129">
        <v>2022</v>
      </c>
      <c r="B33" s="130">
        <v>136.1</v>
      </c>
      <c r="C33" s="130">
        <v>130.450387442465</v>
      </c>
      <c r="D33" s="88"/>
      <c r="E33" s="130">
        <v>158.1</v>
      </c>
      <c r="F33" s="130">
        <v>154</v>
      </c>
      <c r="G33" s="130">
        <v>148.9</v>
      </c>
      <c r="H33" s="130">
        <v>144.80000000000001</v>
      </c>
      <c r="I33" s="88"/>
      <c r="J33" s="130">
        <v>165.39879599049559</v>
      </c>
      <c r="K33" s="130">
        <v>161.7855906934212</v>
      </c>
      <c r="L33" s="130">
        <v>167.11580262271659</v>
      </c>
      <c r="M33" s="130">
        <v>162.9</v>
      </c>
      <c r="N33" s="88"/>
      <c r="O33" s="130">
        <v>53.476634111031835</v>
      </c>
      <c r="P33" s="130">
        <v>82.558695655840395</v>
      </c>
      <c r="Q33" s="130">
        <v>113.11060892575381</v>
      </c>
      <c r="R33" s="130">
        <v>169.30154420504965</v>
      </c>
      <c r="S33" s="88"/>
      <c r="T33" s="131"/>
      <c r="U33" s="132"/>
      <c r="V33" s="132"/>
      <c r="W33" s="133"/>
      <c r="X33" s="88"/>
      <c r="Y33" s="131"/>
      <c r="Z33" s="132"/>
      <c r="AA33" s="132"/>
      <c r="AB33" s="133"/>
      <c r="AC33" s="88"/>
      <c r="AD33" s="131"/>
      <c r="AE33" s="132"/>
      <c r="AF33" s="132"/>
      <c r="AG33" s="133"/>
      <c r="AH33" s="88"/>
      <c r="AI33" s="134"/>
      <c r="AJ33" s="135"/>
      <c r="AK33" s="133"/>
    </row>
    <row r="34" spans="1:39" ht="12.6" customHeight="1">
      <c r="A34" s="129">
        <v>2021</v>
      </c>
      <c r="B34" s="130">
        <v>104.6</v>
      </c>
      <c r="C34" s="130">
        <v>99.441839942528091</v>
      </c>
      <c r="D34" s="88"/>
      <c r="E34" s="130">
        <v>134.69999999999999</v>
      </c>
      <c r="F34" s="130">
        <v>126.1</v>
      </c>
      <c r="G34" s="130">
        <v>119.5</v>
      </c>
      <c r="H34" s="130">
        <v>112.2</v>
      </c>
      <c r="I34" s="88"/>
      <c r="J34" s="130">
        <v>165.50644209050699</v>
      </c>
      <c r="K34" s="130">
        <v>159.92291031256963</v>
      </c>
      <c r="L34" s="130">
        <v>152.24781852030281</v>
      </c>
      <c r="M34" s="130">
        <v>146.80000000000001</v>
      </c>
      <c r="N34" s="88"/>
      <c r="O34" s="130">
        <v>189.91879586251872</v>
      </c>
      <c r="P34" s="130">
        <v>185.45950680369958</v>
      </c>
      <c r="Q34" s="130">
        <v>179.22406348523214</v>
      </c>
      <c r="R34" s="130">
        <v>174.06123796027683</v>
      </c>
      <c r="S34" s="88"/>
      <c r="T34" s="130">
        <v>50.372981133110009</v>
      </c>
      <c r="U34" s="130">
        <v>79.939026216762812</v>
      </c>
      <c r="V34" s="130">
        <v>122.20529841425432</v>
      </c>
      <c r="W34" s="130">
        <v>194.306807899934</v>
      </c>
      <c r="X34" s="88"/>
      <c r="Y34" s="131"/>
      <c r="Z34" s="132"/>
      <c r="AA34" s="132"/>
      <c r="AB34" s="133"/>
      <c r="AC34" s="88"/>
      <c r="AD34" s="131"/>
      <c r="AE34" s="132"/>
      <c r="AF34" s="132"/>
      <c r="AG34" s="133"/>
      <c r="AH34" s="88"/>
      <c r="AI34" s="134"/>
      <c r="AJ34" s="135"/>
      <c r="AK34" s="133"/>
    </row>
    <row r="35" spans="1:39" ht="12.6" customHeight="1">
      <c r="A35" s="129">
        <v>2020</v>
      </c>
      <c r="B35" s="130">
        <v>74.900000000000006</v>
      </c>
      <c r="C35" s="130">
        <v>67.633799821837329</v>
      </c>
      <c r="D35" s="88"/>
      <c r="E35" s="130">
        <v>95.2</v>
      </c>
      <c r="F35" s="130">
        <v>91</v>
      </c>
      <c r="G35" s="130">
        <v>87.5</v>
      </c>
      <c r="H35" s="130">
        <v>84.4</v>
      </c>
      <c r="I35" s="88"/>
      <c r="J35" s="130">
        <v>127.11561452332616</v>
      </c>
      <c r="K35" s="130">
        <v>119.62496555200903</v>
      </c>
      <c r="L35" s="130">
        <v>112.95615506372209</v>
      </c>
      <c r="M35" s="130">
        <v>106.1</v>
      </c>
      <c r="N35" s="88"/>
      <c r="O35" s="130">
        <v>146.68002123933113</v>
      </c>
      <c r="P35" s="130">
        <v>142.1957969291179</v>
      </c>
      <c r="Q35" s="130">
        <v>136.78859805224482</v>
      </c>
      <c r="R35" s="130">
        <v>132.24403567052147</v>
      </c>
      <c r="S35" s="88"/>
      <c r="T35" s="130">
        <v>163.82796174511694</v>
      </c>
      <c r="U35" s="130">
        <v>160.2671288597048</v>
      </c>
      <c r="V35" s="130">
        <v>157.40013685323339</v>
      </c>
      <c r="W35" s="130">
        <v>153.44686347589086</v>
      </c>
      <c r="X35" s="88"/>
      <c r="Y35" s="130">
        <v>33.613164170200513</v>
      </c>
      <c r="Z35" s="130">
        <v>73.107461002486431</v>
      </c>
      <c r="AA35" s="130">
        <v>108.92402668919814</v>
      </c>
      <c r="AB35" s="130">
        <v>170.33575820740788</v>
      </c>
      <c r="AC35" s="88"/>
      <c r="AD35" s="131"/>
      <c r="AE35" s="132"/>
      <c r="AF35" s="132"/>
      <c r="AG35" s="133"/>
      <c r="AH35" s="88"/>
      <c r="AI35" s="134"/>
      <c r="AJ35" s="135"/>
      <c r="AK35" s="133"/>
    </row>
    <row r="36" spans="1:39" ht="12.6" customHeight="1">
      <c r="A36" s="129">
        <v>2019</v>
      </c>
      <c r="B36" s="130">
        <v>16.399999999999999</v>
      </c>
      <c r="C36" s="130">
        <v>15.485393588796494</v>
      </c>
      <c r="D36" s="88"/>
      <c r="E36" s="130">
        <v>48.2</v>
      </c>
      <c r="F36" s="130">
        <v>33</v>
      </c>
      <c r="G36" s="130">
        <v>28.8</v>
      </c>
      <c r="H36" s="130">
        <v>21.7</v>
      </c>
      <c r="I36" s="88"/>
      <c r="J36" s="130">
        <v>90.543866995976686</v>
      </c>
      <c r="K36" s="130">
        <v>87.504799658817973</v>
      </c>
      <c r="L36" s="130">
        <v>71.505322382748332</v>
      </c>
      <c r="M36" s="130">
        <v>68.900000000000006</v>
      </c>
      <c r="N36" s="88"/>
      <c r="O36" s="130">
        <v>117.03016543366147</v>
      </c>
      <c r="P36" s="130">
        <v>110.03838926512957</v>
      </c>
      <c r="Q36" s="130">
        <v>101.42697081708116</v>
      </c>
      <c r="R36" s="130">
        <v>94.751733649967747</v>
      </c>
      <c r="S36" s="88"/>
      <c r="T36" s="130">
        <v>142.27986395608735</v>
      </c>
      <c r="U36" s="130">
        <v>135.77284618965064</v>
      </c>
      <c r="V36" s="130">
        <v>129.05033913892802</v>
      </c>
      <c r="W36" s="130">
        <v>122.61623444576684</v>
      </c>
      <c r="X36" s="88"/>
      <c r="Y36" s="130">
        <v>160.72730527567842</v>
      </c>
      <c r="Z36" s="130">
        <v>157.49707469060871</v>
      </c>
      <c r="AA36" s="130">
        <v>153.7151703519952</v>
      </c>
      <c r="AB36" s="130">
        <v>147.72528421947672</v>
      </c>
      <c r="AC36" s="88"/>
      <c r="AD36" s="130">
        <v>19.234885218900004</v>
      </c>
      <c r="AE36" s="130">
        <v>69.067104781154427</v>
      </c>
      <c r="AF36" s="130">
        <v>103.50153696040614</v>
      </c>
      <c r="AG36" s="130">
        <v>164.77157661062392</v>
      </c>
      <c r="AH36" s="88"/>
      <c r="AI36" s="134"/>
      <c r="AJ36" s="135"/>
      <c r="AK36" s="133"/>
    </row>
    <row r="37" spans="1:39" ht="12.6" customHeight="1">
      <c r="A37" s="129">
        <v>2018</v>
      </c>
      <c r="B37" s="130">
        <v>18.100000000000001</v>
      </c>
      <c r="C37" s="130">
        <v>16.954349219543502</v>
      </c>
      <c r="D37" s="88"/>
      <c r="E37" s="130">
        <v>22.5</v>
      </c>
      <c r="F37" s="130">
        <v>20.9</v>
      </c>
      <c r="G37" s="130">
        <v>20.2</v>
      </c>
      <c r="H37" s="130">
        <v>19.100000000000001</v>
      </c>
      <c r="I37" s="88"/>
      <c r="J37" s="130">
        <v>57.157901896048983</v>
      </c>
      <c r="K37" s="130">
        <v>42.171418157973172</v>
      </c>
      <c r="L37" s="130">
        <v>37.447087380410878</v>
      </c>
      <c r="M37" s="130">
        <v>25.9</v>
      </c>
      <c r="N37" s="88"/>
      <c r="O37" s="130">
        <v>93.461270461005043</v>
      </c>
      <c r="P37" s="130">
        <v>86.178094557292027</v>
      </c>
      <c r="Q37" s="130">
        <v>76.642134832522018</v>
      </c>
      <c r="R37" s="130">
        <v>63.020289605568941</v>
      </c>
      <c r="S37" s="88"/>
      <c r="T37" s="130">
        <v>126.59675763861593</v>
      </c>
      <c r="U37" s="130">
        <v>118.92185405264163</v>
      </c>
      <c r="V37" s="130">
        <v>110.82780284825574</v>
      </c>
      <c r="W37" s="130">
        <v>104.95280407830354</v>
      </c>
      <c r="X37" s="88"/>
      <c r="Y37" s="130">
        <v>158.0173050124327</v>
      </c>
      <c r="Z37" s="130">
        <v>151.35133650193228</v>
      </c>
      <c r="AA37" s="130">
        <v>143.36003959067671</v>
      </c>
      <c r="AB37" s="130">
        <v>136.71744198974213</v>
      </c>
      <c r="AC37" s="88"/>
      <c r="AD37" s="130">
        <v>183.04979654353892</v>
      </c>
      <c r="AE37" s="130">
        <v>177.17060494715821</v>
      </c>
      <c r="AF37" s="130">
        <v>171.15969985636428</v>
      </c>
      <c r="AG37" s="130">
        <v>165.44368702160662</v>
      </c>
      <c r="AH37" s="88"/>
      <c r="AI37" s="130">
        <v>111.26834596860813</v>
      </c>
      <c r="AJ37" s="131"/>
      <c r="AK37" s="133"/>
    </row>
    <row r="38" spans="1:39" ht="12.6" customHeight="1">
      <c r="A38" s="129">
        <v>2017</v>
      </c>
      <c r="B38" s="130">
        <v>17.7</v>
      </c>
      <c r="C38" s="130">
        <v>17.468924108067931</v>
      </c>
      <c r="D38" s="88"/>
      <c r="E38" s="130">
        <v>27.5</v>
      </c>
      <c r="F38" s="130">
        <v>23.7</v>
      </c>
      <c r="G38" s="130">
        <v>22.8</v>
      </c>
      <c r="H38" s="130">
        <v>22</v>
      </c>
      <c r="I38" s="88"/>
      <c r="J38" s="130">
        <v>32.240603078832109</v>
      </c>
      <c r="K38" s="130">
        <v>30.990074851084056</v>
      </c>
      <c r="L38" s="130">
        <v>29.594280704258971</v>
      </c>
      <c r="M38" s="130">
        <v>28.8</v>
      </c>
      <c r="N38" s="88"/>
      <c r="O38" s="130">
        <v>55.92680787696257</v>
      </c>
      <c r="P38" s="130">
        <v>48.476724565435042</v>
      </c>
      <c r="Q38" s="130">
        <v>41.460161848280663</v>
      </c>
      <c r="R38" s="130">
        <v>35.592591450826554</v>
      </c>
      <c r="S38" s="88"/>
      <c r="T38" s="130">
        <v>92.810342791105796</v>
      </c>
      <c r="U38" s="130">
        <v>88.05342773615358</v>
      </c>
      <c r="V38" s="130">
        <v>83.409707684607739</v>
      </c>
      <c r="W38" s="130">
        <v>80.341519708330509</v>
      </c>
      <c r="X38" s="88"/>
      <c r="Y38" s="130">
        <v>117.82425336678651</v>
      </c>
      <c r="Z38" s="130">
        <v>113.06865086984378</v>
      </c>
      <c r="AA38" s="130">
        <v>105.52273636545142</v>
      </c>
      <c r="AB38" s="130">
        <v>100.01876513797022</v>
      </c>
      <c r="AC38" s="88"/>
      <c r="AD38" s="130">
        <v>144.12087239391599</v>
      </c>
      <c r="AE38" s="130">
        <v>136.83020462638692</v>
      </c>
      <c r="AF38" s="130">
        <v>129.54682834475091</v>
      </c>
      <c r="AG38" s="130">
        <v>124.3778430996758</v>
      </c>
      <c r="AH38" s="88"/>
      <c r="AI38" s="130">
        <v>161.52586091717967</v>
      </c>
      <c r="AJ38" s="130">
        <v>105.27261597807642</v>
      </c>
      <c r="AK38" s="133"/>
    </row>
    <row r="39" spans="1:39" ht="12.6" customHeight="1">
      <c r="A39" s="129">
        <v>2016</v>
      </c>
      <c r="B39" s="130">
        <v>15.5</v>
      </c>
      <c r="C39" s="130">
        <v>15.508162961853156</v>
      </c>
      <c r="D39" s="88"/>
      <c r="E39" s="130">
        <v>21.6</v>
      </c>
      <c r="F39" s="130">
        <v>20.3</v>
      </c>
      <c r="G39" s="130">
        <v>19.600000000000001</v>
      </c>
      <c r="H39" s="130">
        <v>19</v>
      </c>
      <c r="I39" s="88"/>
      <c r="J39" s="130">
        <v>35.574370806474469</v>
      </c>
      <c r="K39" s="130">
        <v>30.800550870507745</v>
      </c>
      <c r="L39" s="130">
        <v>24.540062035869237</v>
      </c>
      <c r="M39" s="130">
        <v>23</v>
      </c>
      <c r="N39" s="88"/>
      <c r="O39" s="130">
        <v>58.822453394318408</v>
      </c>
      <c r="P39" s="130">
        <v>49.531147188635245</v>
      </c>
      <c r="Q39" s="130">
        <v>41.945630596234146</v>
      </c>
      <c r="R39" s="130">
        <v>37.947093662702336</v>
      </c>
      <c r="S39" s="88"/>
      <c r="T39" s="130">
        <v>82.001658839748103</v>
      </c>
      <c r="U39" s="130">
        <v>74.617562637714968</v>
      </c>
      <c r="V39" s="130">
        <v>64.982152531969405</v>
      </c>
      <c r="W39" s="130">
        <v>61.188004203756556</v>
      </c>
      <c r="X39" s="88"/>
      <c r="Y39" s="130">
        <v>110.56323723939967</v>
      </c>
      <c r="Z39" s="130">
        <v>106.59796160655762</v>
      </c>
      <c r="AA39" s="130">
        <v>99.384140586409728</v>
      </c>
      <c r="AB39" s="130">
        <v>90.42803031283114</v>
      </c>
      <c r="AC39" s="88"/>
      <c r="AD39" s="130">
        <v>139.99440887763791</v>
      </c>
      <c r="AE39" s="130">
        <v>129.62213129856644</v>
      </c>
      <c r="AF39" s="130">
        <v>122.08982495070805</v>
      </c>
      <c r="AG39" s="130">
        <v>115.3842829135918</v>
      </c>
      <c r="AH39" s="88"/>
      <c r="AI39" s="130">
        <v>157.18381326133701</v>
      </c>
      <c r="AJ39" s="130">
        <v>181.69148700639153</v>
      </c>
      <c r="AK39" s="130">
        <v>184.66178933207615</v>
      </c>
    </row>
    <row r="40" spans="1:39" ht="12.6" customHeight="1">
      <c r="A40" s="129">
        <v>2015</v>
      </c>
      <c r="B40" s="130">
        <v>11</v>
      </c>
      <c r="C40" s="130">
        <v>11.025805133857105</v>
      </c>
      <c r="D40" s="88"/>
      <c r="E40" s="130">
        <v>11.7</v>
      </c>
      <c r="F40" s="130">
        <v>11.4</v>
      </c>
      <c r="G40" s="130">
        <v>11.3</v>
      </c>
      <c r="H40" s="130">
        <v>11.1</v>
      </c>
      <c r="I40" s="88"/>
      <c r="J40" s="130">
        <v>19.357403242397218</v>
      </c>
      <c r="K40" s="130">
        <v>19.430561660569815</v>
      </c>
      <c r="L40" s="130">
        <v>17.73813843464788</v>
      </c>
      <c r="M40" s="130">
        <v>13.7</v>
      </c>
      <c r="N40" s="88"/>
      <c r="O40" s="130">
        <v>30.436980863019716</v>
      </c>
      <c r="P40" s="130">
        <v>30.312441832122389</v>
      </c>
      <c r="Q40" s="130">
        <v>27.977001021971066</v>
      </c>
      <c r="R40" s="130">
        <v>19.457379172966586</v>
      </c>
      <c r="S40" s="88"/>
      <c r="T40" s="130">
        <v>43.380611421359021</v>
      </c>
      <c r="U40" s="130">
        <v>41.506667325557835</v>
      </c>
      <c r="V40" s="130">
        <v>36.162902600365058</v>
      </c>
      <c r="W40" s="130">
        <v>34.334675170182138</v>
      </c>
      <c r="X40" s="88"/>
      <c r="Y40" s="130">
        <v>71.873259327856417</v>
      </c>
      <c r="Z40" s="130">
        <v>67.337294617517699</v>
      </c>
      <c r="AA40" s="130">
        <v>58.78856360471854</v>
      </c>
      <c r="AB40" s="130">
        <v>44.144791961169247</v>
      </c>
      <c r="AC40" s="88"/>
      <c r="AD40" s="130">
        <v>87.693168637771038</v>
      </c>
      <c r="AE40" s="130">
        <v>82.215354024484526</v>
      </c>
      <c r="AF40" s="130">
        <v>78.232616763969133</v>
      </c>
      <c r="AG40" s="130">
        <v>75.571002715841104</v>
      </c>
      <c r="AH40" s="88"/>
      <c r="AI40" s="130">
        <v>109.38781484965895</v>
      </c>
      <c r="AJ40" s="130">
        <v>147.89101952352462</v>
      </c>
      <c r="AK40" s="130">
        <v>151.66637338193183</v>
      </c>
      <c r="AL40" s="8"/>
      <c r="AM40" s="8"/>
    </row>
    <row r="41" spans="1:39" ht="12.6" customHeight="1">
      <c r="A41" s="129">
        <v>2014</v>
      </c>
      <c r="B41" s="130">
        <v>8.6999999999999993</v>
      </c>
      <c r="C41" s="130">
        <v>8.6088430926853441</v>
      </c>
      <c r="D41" s="88"/>
      <c r="E41" s="130">
        <v>10</v>
      </c>
      <c r="F41" s="130">
        <v>8.8000000000000007</v>
      </c>
      <c r="G41" s="130">
        <v>8.6999999999999993</v>
      </c>
      <c r="H41" s="130">
        <v>8.6999999999999993</v>
      </c>
      <c r="I41" s="88"/>
      <c r="J41" s="130">
        <v>12.083277053586917</v>
      </c>
      <c r="K41" s="130">
        <v>11.956638899678255</v>
      </c>
      <c r="L41" s="130">
        <v>9.9949350238547883</v>
      </c>
      <c r="M41" s="130">
        <v>10</v>
      </c>
      <c r="N41" s="88"/>
      <c r="O41" s="130">
        <v>22.540537347159365</v>
      </c>
      <c r="P41" s="130">
        <v>19.114011496477318</v>
      </c>
      <c r="Q41" s="130">
        <v>18.918625587609249</v>
      </c>
      <c r="R41" s="130">
        <v>12.229345184869388</v>
      </c>
      <c r="S41" s="88"/>
      <c r="T41" s="130">
        <v>32.535931085011214</v>
      </c>
      <c r="U41" s="130">
        <v>31.623042803916906</v>
      </c>
      <c r="V41" s="130">
        <v>30.628506581406288</v>
      </c>
      <c r="W41" s="130">
        <v>30.29865039490333</v>
      </c>
      <c r="X41" s="88"/>
      <c r="Y41" s="130">
        <v>38.175334736539476</v>
      </c>
      <c r="Z41" s="130">
        <v>35.663605039310873</v>
      </c>
      <c r="AA41" s="130">
        <v>34.567984389085908</v>
      </c>
      <c r="AB41" s="130">
        <v>33.287832146974637</v>
      </c>
      <c r="AC41" s="88"/>
      <c r="AD41" s="130">
        <v>70.939927519914903</v>
      </c>
      <c r="AE41" s="130">
        <v>66.497798955039073</v>
      </c>
      <c r="AF41" s="130">
        <v>54.267316459282739</v>
      </c>
      <c r="AG41" s="130">
        <v>50.343935581170911</v>
      </c>
      <c r="AH41" s="88"/>
      <c r="AI41" s="130">
        <v>85.255314537882057</v>
      </c>
      <c r="AJ41" s="130">
        <v>110.76741933267158</v>
      </c>
      <c r="AK41" s="130">
        <v>113.34976290130534</v>
      </c>
      <c r="AL41" s="8"/>
      <c r="AM41" s="8"/>
    </row>
    <row r="42" spans="1:39" ht="12.6" customHeight="1">
      <c r="A42" s="129">
        <v>2013</v>
      </c>
      <c r="B42" s="130">
        <v>10.5</v>
      </c>
      <c r="C42" s="130">
        <v>10.237127110827446</v>
      </c>
      <c r="D42" s="88"/>
      <c r="E42" s="130">
        <v>11.8</v>
      </c>
      <c r="F42" s="130">
        <v>11.2</v>
      </c>
      <c r="G42" s="130">
        <v>11.1</v>
      </c>
      <c r="H42" s="130">
        <v>11.1</v>
      </c>
      <c r="I42" s="88"/>
      <c r="J42" s="130">
        <v>17.654132081283361</v>
      </c>
      <c r="K42" s="130">
        <v>15.045250998390534</v>
      </c>
      <c r="L42" s="130">
        <v>14.113746206745951</v>
      </c>
      <c r="M42" s="130">
        <v>13.1</v>
      </c>
      <c r="N42" s="88"/>
      <c r="O42" s="130">
        <v>23.769309613111602</v>
      </c>
      <c r="P42" s="130">
        <v>21.253296945162734</v>
      </c>
      <c r="Q42" s="130">
        <v>21.1121864409638</v>
      </c>
      <c r="R42" s="130">
        <v>18.664674172815072</v>
      </c>
      <c r="S42" s="88"/>
      <c r="T42" s="130">
        <v>25.611150157218347</v>
      </c>
      <c r="U42" s="130">
        <v>24.833727777575891</v>
      </c>
      <c r="V42" s="130">
        <v>24.541649945516365</v>
      </c>
      <c r="W42" s="130">
        <v>23.982955543799367</v>
      </c>
      <c r="X42" s="88"/>
      <c r="Y42" s="130">
        <v>31.445174303306995</v>
      </c>
      <c r="Z42" s="130">
        <v>30.4908079858665</v>
      </c>
      <c r="AA42" s="130">
        <v>29.872546355796096</v>
      </c>
      <c r="AB42" s="130">
        <v>25.892065395528153</v>
      </c>
      <c r="AC42" s="88"/>
      <c r="AD42" s="130">
        <v>37.702415874419174</v>
      </c>
      <c r="AE42" s="130">
        <v>35.695877927972973</v>
      </c>
      <c r="AF42" s="130">
        <v>32.82573814863391</v>
      </c>
      <c r="AG42" s="130">
        <v>32.12176084305996</v>
      </c>
      <c r="AH42" s="88"/>
      <c r="AI42" s="130">
        <v>53.642928584705196</v>
      </c>
      <c r="AJ42" s="130">
        <v>65.865548754868556</v>
      </c>
      <c r="AK42" s="130">
        <v>66.90050313505408</v>
      </c>
      <c r="AL42" s="8"/>
      <c r="AM42" s="8"/>
    </row>
    <row r="43" spans="1:39" ht="12.6" customHeight="1">
      <c r="A43" s="129">
        <v>2012</v>
      </c>
      <c r="B43" s="130">
        <v>1.6</v>
      </c>
      <c r="C43" s="130">
        <v>1.6301026542199997</v>
      </c>
      <c r="D43" s="88"/>
      <c r="E43" s="130">
        <v>1.9</v>
      </c>
      <c r="F43" s="130">
        <v>1.8</v>
      </c>
      <c r="G43" s="130">
        <v>1.7</v>
      </c>
      <c r="H43" s="130">
        <v>1.7</v>
      </c>
      <c r="I43" s="88"/>
      <c r="J43" s="130">
        <v>2.3004402973500002</v>
      </c>
      <c r="K43" s="130">
        <v>1.9417088648600001</v>
      </c>
      <c r="L43" s="130">
        <v>1.9071073705999999</v>
      </c>
      <c r="M43" s="130">
        <v>1.9</v>
      </c>
      <c r="N43" s="88"/>
      <c r="O43" s="130">
        <v>3.7480571301596317</v>
      </c>
      <c r="P43" s="130">
        <v>2.9093877448384218</v>
      </c>
      <c r="Q43" s="130">
        <v>2.8584613107622316</v>
      </c>
      <c r="R43" s="130">
        <v>2.3812323373514701</v>
      </c>
      <c r="S43" s="88"/>
      <c r="T43" s="130">
        <v>6.5601028522451514</v>
      </c>
      <c r="U43" s="130">
        <v>6.4540615032518422</v>
      </c>
      <c r="V43" s="130">
        <v>4.6191212987777419</v>
      </c>
      <c r="W43" s="130">
        <v>4.4989320054767816</v>
      </c>
      <c r="X43" s="88"/>
      <c r="Y43" s="130">
        <v>11.937189416950091</v>
      </c>
      <c r="Z43" s="130">
        <v>11.588906419779786</v>
      </c>
      <c r="AA43" s="130">
        <v>9.9843756259184939</v>
      </c>
      <c r="AB43" s="130">
        <v>9.6471419544887027</v>
      </c>
      <c r="AC43" s="88"/>
      <c r="AD43" s="130">
        <v>15.597365867819555</v>
      </c>
      <c r="AE43" s="130">
        <v>13.960920394527795</v>
      </c>
      <c r="AF43" s="130">
        <v>13.636913781705191</v>
      </c>
      <c r="AG43" s="130">
        <v>12.258417428220566</v>
      </c>
      <c r="AH43" s="88"/>
      <c r="AI43" s="130">
        <v>25.214533287120673</v>
      </c>
      <c r="AJ43" s="130">
        <v>46.529298478433674</v>
      </c>
      <c r="AK43" s="130">
        <v>49.673780823370485</v>
      </c>
    </row>
    <row r="44" spans="1:39" ht="12.6" customHeight="1">
      <c r="A44" s="129">
        <v>2011</v>
      </c>
      <c r="B44" s="130">
        <v>0.6</v>
      </c>
      <c r="C44" s="130">
        <v>0.59693517426016007</v>
      </c>
      <c r="D44" s="88"/>
      <c r="E44" s="130">
        <v>0.7</v>
      </c>
      <c r="F44" s="130">
        <v>0.7</v>
      </c>
      <c r="G44" s="130">
        <v>0.7</v>
      </c>
      <c r="H44" s="130">
        <v>0.7</v>
      </c>
      <c r="I44" s="88"/>
      <c r="J44" s="130">
        <v>0.88689705519932882</v>
      </c>
      <c r="K44" s="130">
        <v>0.87261342117908891</v>
      </c>
      <c r="L44" s="130">
        <v>0.79649263339828891</v>
      </c>
      <c r="M44" s="130">
        <v>0.8</v>
      </c>
      <c r="N44" s="88"/>
      <c r="O44" s="130">
        <v>4.5298147879616799</v>
      </c>
      <c r="P44" s="130">
        <v>3.6038410931726399</v>
      </c>
      <c r="Q44" s="130">
        <v>3.5611317440911998</v>
      </c>
      <c r="R44" s="130">
        <v>1.0860527448569599</v>
      </c>
      <c r="S44" s="88"/>
      <c r="T44" s="130">
        <v>7.8201349112073268</v>
      </c>
      <c r="U44" s="130">
        <v>7.5824048856134283</v>
      </c>
      <c r="V44" s="130">
        <v>6.6994682793333489</v>
      </c>
      <c r="W44" s="130">
        <v>4.8536927735259079</v>
      </c>
      <c r="X44" s="88"/>
      <c r="Y44" s="130">
        <v>13.052700369877966</v>
      </c>
      <c r="Z44" s="130">
        <v>12.789058880571313</v>
      </c>
      <c r="AA44" s="130">
        <v>12.373329988595836</v>
      </c>
      <c r="AB44" s="130">
        <v>11.019241262488656</v>
      </c>
      <c r="AC44" s="88"/>
      <c r="AD44" s="130">
        <v>17.544551354226552</v>
      </c>
      <c r="AE44" s="130">
        <v>17.2858965511987</v>
      </c>
      <c r="AF44" s="130">
        <v>16.959898323312448</v>
      </c>
      <c r="AG44" s="130">
        <v>16.738864353451788</v>
      </c>
      <c r="AH44" s="88"/>
      <c r="AI44" s="130">
        <v>20.280135263342366</v>
      </c>
      <c r="AJ44" s="130">
        <v>27.213921854791462</v>
      </c>
      <c r="AK44" s="130">
        <v>27.45692927351659</v>
      </c>
    </row>
    <row r="45" spans="1:39" ht="12.6" customHeight="1">
      <c r="A45" s="129">
        <v>2010</v>
      </c>
      <c r="B45" s="130">
        <v>40.200000000000003</v>
      </c>
      <c r="C45" s="130">
        <v>39.324935349210008</v>
      </c>
      <c r="D45" s="88"/>
      <c r="E45" s="130">
        <v>44</v>
      </c>
      <c r="F45" s="130">
        <v>42.7</v>
      </c>
      <c r="G45" s="130">
        <v>42</v>
      </c>
      <c r="H45" s="130">
        <v>41.2</v>
      </c>
      <c r="I45" s="88"/>
      <c r="J45" s="130">
        <v>48.618533180437311</v>
      </c>
      <c r="K45" s="130">
        <v>47.402232762649696</v>
      </c>
      <c r="L45" s="130">
        <v>45.867674382110472</v>
      </c>
      <c r="M45" s="130">
        <v>44.9</v>
      </c>
      <c r="N45" s="88"/>
      <c r="O45" s="130">
        <v>61.086046043362416</v>
      </c>
      <c r="P45" s="130">
        <v>58.929235574635911</v>
      </c>
      <c r="Q45" s="130">
        <v>52.727215800277371</v>
      </c>
      <c r="R45" s="130">
        <v>49.918840974781659</v>
      </c>
      <c r="S45" s="88"/>
      <c r="T45" s="130">
        <v>69.554352681759838</v>
      </c>
      <c r="U45" s="130">
        <v>65.809699693256562</v>
      </c>
      <c r="V45" s="130">
        <v>65.506671386081905</v>
      </c>
      <c r="W45" s="130">
        <v>63.584699341219647</v>
      </c>
      <c r="X45" s="88"/>
      <c r="Y45" s="130">
        <v>71.103322840419338</v>
      </c>
      <c r="Z45" s="130">
        <v>70.641047657308008</v>
      </c>
      <c r="AA45" s="130">
        <v>70.204720369342567</v>
      </c>
      <c r="AB45" s="130">
        <v>69.881179994300211</v>
      </c>
      <c r="AC45" s="88"/>
      <c r="AD45" s="130">
        <v>75.226472173120214</v>
      </c>
      <c r="AE45" s="130">
        <v>73.769244493262661</v>
      </c>
      <c r="AF45" s="130">
        <v>72.152586314708984</v>
      </c>
      <c r="AG45" s="130">
        <v>71.548446174041715</v>
      </c>
      <c r="AH45" s="88"/>
      <c r="AI45" s="130">
        <v>78.267237936187144</v>
      </c>
      <c r="AJ45" s="130">
        <v>86.495618350242992</v>
      </c>
      <c r="AK45" s="130">
        <v>88.014290471781933</v>
      </c>
    </row>
    <row r="46" spans="1:39" ht="12.6" customHeight="1">
      <c r="A46" s="129" t="s">
        <v>61</v>
      </c>
      <c r="B46" s="130">
        <v>96.1</v>
      </c>
      <c r="C46" s="130">
        <v>94.384411563383665</v>
      </c>
      <c r="D46" s="88"/>
      <c r="E46" s="130">
        <v>113</v>
      </c>
      <c r="F46" s="130">
        <v>109.9</v>
      </c>
      <c r="G46" s="130">
        <v>100.9</v>
      </c>
      <c r="H46" s="130">
        <v>99</v>
      </c>
      <c r="I46" s="88"/>
      <c r="J46" s="130">
        <v>116.90833060598366</v>
      </c>
      <c r="K46" s="130">
        <v>120.76167758502386</v>
      </c>
      <c r="L46" s="130">
        <v>117.7983474246562</v>
      </c>
      <c r="M46" s="130">
        <v>116.1</v>
      </c>
      <c r="N46" s="88"/>
      <c r="O46" s="130">
        <v>126.14971858399181</v>
      </c>
      <c r="P46" s="130">
        <v>123.55174856746561</v>
      </c>
      <c r="Q46" s="130">
        <v>118.58661757907602</v>
      </c>
      <c r="R46" s="130">
        <v>119.50996414775983</v>
      </c>
      <c r="S46" s="88"/>
      <c r="T46" s="130">
        <v>144.42470484419849</v>
      </c>
      <c r="U46" s="130">
        <v>136.98319902847069</v>
      </c>
      <c r="V46" s="130">
        <v>133.86933427375743</v>
      </c>
      <c r="W46" s="130">
        <v>131.05292050728829</v>
      </c>
      <c r="X46" s="88"/>
      <c r="Y46" s="130">
        <v>172.30396946463878</v>
      </c>
      <c r="Z46" s="130">
        <v>169.20055904380877</v>
      </c>
      <c r="AA46" s="130">
        <v>158.91200829139254</v>
      </c>
      <c r="AB46" s="130">
        <v>153.70842409925399</v>
      </c>
      <c r="AC46" s="88"/>
      <c r="AD46" s="130">
        <v>199.75740769380678</v>
      </c>
      <c r="AE46" s="130">
        <v>193.89146952225099</v>
      </c>
      <c r="AF46" s="130">
        <v>184.76728031601755</v>
      </c>
      <c r="AG46" s="130">
        <v>180.03870568066273</v>
      </c>
      <c r="AH46" s="88"/>
      <c r="AI46" s="130">
        <v>222.74619547762887</v>
      </c>
      <c r="AJ46" s="130">
        <v>267.98087367284865</v>
      </c>
      <c r="AK46" s="130">
        <v>274.5127848984751</v>
      </c>
    </row>
    <row r="47" spans="1:39" ht="12.6" customHeight="1">
      <c r="A47" s="136" t="s">
        <v>22</v>
      </c>
      <c r="B47" s="137">
        <v>944.1</v>
      </c>
      <c r="C47" s="137">
        <v>974.38916814286563</v>
      </c>
      <c r="D47" s="88"/>
      <c r="E47" s="137">
        <v>926.8</v>
      </c>
      <c r="F47" s="137">
        <v>945.2</v>
      </c>
      <c r="G47" s="137">
        <v>940.7</v>
      </c>
      <c r="H47" s="137">
        <v>956.8</v>
      </c>
      <c r="I47" s="88"/>
      <c r="J47" s="137">
        <f>SUM(J32:J46)</f>
        <v>920.4540917879782</v>
      </c>
      <c r="K47" s="137">
        <f>SUM(K32:K46)</f>
        <v>960.11395303817835</v>
      </c>
      <c r="L47" s="137">
        <f>SUM(L32:L46)</f>
        <v>957.48026301466405</v>
      </c>
      <c r="M47" s="137">
        <f>SUM(M32:M46)</f>
        <v>951.99999999999989</v>
      </c>
      <c r="N47" s="88"/>
      <c r="O47" s="137">
        <f>SUM(O33:O46)</f>
        <v>987.57661274759539</v>
      </c>
      <c r="P47" s="137">
        <v>964.1123182190247</v>
      </c>
      <c r="Q47" s="137">
        <v>936.33940804209965</v>
      </c>
      <c r="R47" s="137">
        <v>930.16601494031443</v>
      </c>
      <c r="S47" s="88"/>
      <c r="T47" s="137">
        <f>SUM(T34:T46)</f>
        <v>987.77655405678343</v>
      </c>
      <c r="U47" s="137">
        <f>SUM(U34:U46)</f>
        <v>972.36464871027158</v>
      </c>
      <c r="V47" s="137">
        <f>SUM(V34:V46)</f>
        <v>969.90309183648674</v>
      </c>
      <c r="W47" s="137">
        <v>1009.4587595483778</v>
      </c>
      <c r="X47" s="88"/>
      <c r="Y47" s="137">
        <v>990.63621552408699</v>
      </c>
      <c r="Z47" s="137">
        <v>999.33376431559179</v>
      </c>
      <c r="AA47" s="137">
        <v>985.60964220858136</v>
      </c>
      <c r="AB47" s="137">
        <v>992.80595668163232</v>
      </c>
      <c r="AC47" s="88"/>
      <c r="AD47" s="137">
        <v>990.86127215507099</v>
      </c>
      <c r="AE47" s="137">
        <v>996.00660752200292</v>
      </c>
      <c r="AF47" s="137">
        <v>979.14024021985938</v>
      </c>
      <c r="AG47" s="137">
        <v>1008.598522421947</v>
      </c>
      <c r="AH47" s="88"/>
      <c r="AI47" s="137">
        <v>1024.7721800836503</v>
      </c>
      <c r="AJ47" s="137">
        <f>SUM(AJ38:AJ46)</f>
        <v>1039.7078029518495</v>
      </c>
      <c r="AK47" s="137">
        <f>SUM(AK38:AK46)</f>
        <v>956.23621421751159</v>
      </c>
    </row>
    <row r="48" spans="1:39" ht="12.6" customHeight="1">
      <c r="M48" s="50"/>
      <c r="N48" s="50"/>
    </row>
    <row r="49" spans="1:32" ht="12.6" customHeight="1">
      <c r="A49" s="78" t="s">
        <v>767</v>
      </c>
      <c r="B49" s="13"/>
      <c r="C49" s="13"/>
      <c r="D49" s="13"/>
      <c r="E49" s="13"/>
      <c r="F49" s="13"/>
      <c r="G49" s="13"/>
      <c r="H49" s="13"/>
      <c r="I49" s="13"/>
      <c r="J49" s="13"/>
      <c r="K49" s="13"/>
      <c r="L49" s="13"/>
      <c r="M49" s="50"/>
      <c r="N49" s="50"/>
      <c r="O49" s="13"/>
      <c r="P49" s="13"/>
      <c r="Q49" s="13"/>
      <c r="R49" s="13"/>
      <c r="S49" s="13"/>
      <c r="T49" s="13"/>
      <c r="U49" s="13"/>
      <c r="V49" s="13"/>
      <c r="X49" s="8"/>
      <c r="Y49" s="8"/>
      <c r="Z49" s="8"/>
      <c r="AA49" s="8"/>
      <c r="AC49" s="8"/>
      <c r="AD49" s="8"/>
    </row>
    <row r="50" spans="1:32" ht="12.6" customHeight="1">
      <c r="A50" s="17"/>
      <c r="B50" s="13"/>
      <c r="C50" s="13"/>
      <c r="D50" s="13"/>
      <c r="E50" s="13"/>
      <c r="F50" s="13"/>
      <c r="G50" s="13"/>
      <c r="H50" s="13"/>
      <c r="I50" s="13"/>
      <c r="J50" s="13"/>
      <c r="K50" s="13"/>
      <c r="L50" s="13"/>
      <c r="M50" s="13"/>
      <c r="N50" s="13"/>
      <c r="O50" s="13"/>
      <c r="P50" s="13"/>
      <c r="Q50" s="13"/>
      <c r="R50" s="13"/>
      <c r="S50" s="13"/>
      <c r="T50" s="13"/>
      <c r="U50" s="13"/>
      <c r="V50" s="13"/>
      <c r="W50" s="21"/>
      <c r="X50" s="8"/>
      <c r="Y50" s="8"/>
      <c r="Z50" s="8"/>
      <c r="AA50" s="8"/>
      <c r="AC50" s="8"/>
      <c r="AD50" s="8"/>
    </row>
    <row r="51" spans="1:32" ht="12.6" customHeight="1">
      <c r="A51" s="138"/>
      <c r="B51" s="200" t="s">
        <v>1627</v>
      </c>
      <c r="C51" s="201"/>
      <c r="D51" s="201"/>
      <c r="E51" s="201"/>
      <c r="F51" s="201"/>
      <c r="G51" s="201"/>
      <c r="H51" s="201"/>
      <c r="I51" s="201"/>
      <c r="J51" s="201"/>
      <c r="K51" s="201"/>
      <c r="L51" s="139"/>
      <c r="M51" s="112" t="s">
        <v>1047</v>
      </c>
      <c r="N51" s="112" t="s">
        <v>1093</v>
      </c>
      <c r="O51" s="112" t="s">
        <v>1141</v>
      </c>
      <c r="P51" s="112" t="s">
        <v>1193</v>
      </c>
      <c r="Q51" s="139"/>
      <c r="R51" s="140" t="s">
        <v>561</v>
      </c>
      <c r="S51" s="112" t="s">
        <v>787</v>
      </c>
      <c r="T51" s="112" t="s">
        <v>825</v>
      </c>
      <c r="U51" s="112" t="s">
        <v>826</v>
      </c>
      <c r="V51" s="139"/>
      <c r="W51" s="80" t="s">
        <v>404</v>
      </c>
      <c r="X51" s="80" t="s">
        <v>405</v>
      </c>
      <c r="Y51" s="80" t="s">
        <v>406</v>
      </c>
      <c r="Z51" s="80" t="s">
        <v>407</v>
      </c>
      <c r="AA51" s="141"/>
      <c r="AB51" s="116">
        <v>2018</v>
      </c>
      <c r="AC51" s="116">
        <v>2017</v>
      </c>
      <c r="AD51" s="116">
        <v>2016</v>
      </c>
      <c r="AE51" s="116">
        <v>2015</v>
      </c>
      <c r="AF51" s="116">
        <v>2014</v>
      </c>
    </row>
    <row r="52" spans="1:32" ht="12.6" customHeight="1">
      <c r="A52" s="81" t="s">
        <v>88</v>
      </c>
      <c r="B52" s="200"/>
      <c r="C52" s="201"/>
      <c r="D52" s="201"/>
      <c r="E52" s="201"/>
      <c r="F52" s="201"/>
      <c r="G52" s="201"/>
      <c r="H52" s="201"/>
      <c r="I52" s="201"/>
      <c r="J52" s="201"/>
      <c r="K52" s="201"/>
      <c r="L52" s="142"/>
      <c r="M52" s="130">
        <v>1253.3911464344758</v>
      </c>
      <c r="N52" s="130">
        <v>1256.582394050276</v>
      </c>
      <c r="O52" s="130">
        <v>1252.0324939988293</v>
      </c>
      <c r="P52" s="130">
        <v>1386.4612518285226</v>
      </c>
      <c r="Q52" s="142"/>
      <c r="R52" s="143">
        <v>1411.1227774100014</v>
      </c>
      <c r="S52" s="143">
        <v>1452.9746939009124</v>
      </c>
      <c r="T52" s="144">
        <v>1345.8293653715075</v>
      </c>
      <c r="U52" s="144">
        <v>1287.8061453277214</v>
      </c>
      <c r="V52" s="142"/>
      <c r="W52" s="143">
        <v>1357.2464949455175</v>
      </c>
      <c r="X52" s="143">
        <v>1391.1488103492479</v>
      </c>
      <c r="Y52" s="143">
        <v>1455.6954527294517</v>
      </c>
      <c r="Z52" s="144">
        <v>1502.3650544029026</v>
      </c>
      <c r="AA52" s="122"/>
      <c r="AB52" s="143">
        <v>1338.9912872813111</v>
      </c>
      <c r="AC52" s="143">
        <v>1226.5370162960539</v>
      </c>
      <c r="AD52" s="143">
        <v>1327.6478396040491</v>
      </c>
      <c r="AE52" s="143">
        <v>1273.8334350039845</v>
      </c>
      <c r="AF52" s="143">
        <v>1116.4171479401066</v>
      </c>
    </row>
    <row r="53" spans="1:32" ht="12.6" customHeight="1">
      <c r="A53" s="145" t="s">
        <v>43</v>
      </c>
      <c r="B53" s="200"/>
      <c r="C53" s="201"/>
      <c r="D53" s="201"/>
      <c r="E53" s="201"/>
      <c r="F53" s="201"/>
      <c r="G53" s="201"/>
      <c r="H53" s="201"/>
      <c r="I53" s="201"/>
      <c r="J53" s="201"/>
      <c r="K53" s="201"/>
      <c r="L53" s="142"/>
      <c r="M53" s="130">
        <v>7232.5979904000005</v>
      </c>
      <c r="N53" s="130">
        <v>7389.4620664000004</v>
      </c>
      <c r="O53" s="130">
        <v>7726.1576009999999</v>
      </c>
      <c r="P53" s="130">
        <v>8134.8015328000001</v>
      </c>
      <c r="Q53" s="142"/>
      <c r="R53" s="143">
        <v>7085.0505599999997</v>
      </c>
      <c r="S53" s="143">
        <v>7237.6680000000006</v>
      </c>
      <c r="T53" s="144">
        <v>7000.823980000001</v>
      </c>
      <c r="U53" s="144">
        <v>7075.7661000000007</v>
      </c>
      <c r="V53" s="142"/>
      <c r="W53" s="143">
        <v>6450.2188799999994</v>
      </c>
      <c r="X53" s="143">
        <v>6581.1387599999998</v>
      </c>
      <c r="Y53" s="143">
        <v>6760.6157100000009</v>
      </c>
      <c r="Z53" s="143">
        <v>6964.8946500000002</v>
      </c>
      <c r="AA53" s="122"/>
      <c r="AB53" s="143">
        <v>6059.4625635250004</v>
      </c>
      <c r="AC53" s="143">
        <v>5767.9610590000002</v>
      </c>
      <c r="AD53" s="143">
        <v>6207.2877678000004</v>
      </c>
      <c r="AE53" s="143">
        <v>5725.9141019999997</v>
      </c>
      <c r="AF53" s="143">
        <v>4966.5682379999998</v>
      </c>
    </row>
    <row r="54" spans="1:32" ht="12.6" customHeight="1">
      <c r="A54" s="145" t="s">
        <v>42</v>
      </c>
      <c r="B54" s="200"/>
      <c r="C54" s="201"/>
      <c r="D54" s="201"/>
      <c r="E54" s="201"/>
      <c r="F54" s="201"/>
      <c r="G54" s="201"/>
      <c r="H54" s="201"/>
      <c r="I54" s="201"/>
      <c r="J54" s="201"/>
      <c r="K54" s="201"/>
      <c r="L54" s="142"/>
      <c r="M54" s="130">
        <v>636.63035943674356</v>
      </c>
      <c r="N54" s="130">
        <v>647.2989246566558</v>
      </c>
      <c r="O54" s="130">
        <v>670.67650274307891</v>
      </c>
      <c r="P54" s="130">
        <v>734.44531066814523</v>
      </c>
      <c r="Q54" s="142"/>
      <c r="R54" s="143">
        <v>710.12558736000005</v>
      </c>
      <c r="S54" s="143">
        <v>709.42857200000003</v>
      </c>
      <c r="T54" s="144">
        <v>642.66090621000001</v>
      </c>
      <c r="U54" s="144">
        <v>657.17362034999996</v>
      </c>
      <c r="V54" s="142"/>
      <c r="W54" s="143">
        <v>722.13558969999997</v>
      </c>
      <c r="X54" s="143">
        <v>711.14239680000003</v>
      </c>
      <c r="Y54" s="143">
        <v>722.57363181000005</v>
      </c>
      <c r="Z54" s="144">
        <v>727.41204357000004</v>
      </c>
      <c r="AA54" s="122"/>
      <c r="AB54" s="143">
        <v>679.42559845668688</v>
      </c>
      <c r="AC54" s="143">
        <v>659.10561631414214</v>
      </c>
      <c r="AD54" s="143">
        <v>811.24636737695687</v>
      </c>
      <c r="AE54" s="143">
        <v>851.62338310753375</v>
      </c>
      <c r="AF54" s="143">
        <v>821.88091693877311</v>
      </c>
    </row>
    <row r="55" spans="1:32" ht="12.6" customHeight="1">
      <c r="A55" s="145" t="s">
        <v>41</v>
      </c>
      <c r="B55" s="200"/>
      <c r="C55" s="201"/>
      <c r="D55" s="201"/>
      <c r="E55" s="201"/>
      <c r="F55" s="201"/>
      <c r="G55" s="201"/>
      <c r="H55" s="201"/>
      <c r="I55" s="201"/>
      <c r="J55" s="201"/>
      <c r="K55" s="201"/>
      <c r="L55" s="142"/>
      <c r="M55" s="130">
        <v>498.93692105445103</v>
      </c>
      <c r="N55" s="130">
        <v>511.7525866003881</v>
      </c>
      <c r="O55" s="130">
        <v>537.85465830330338</v>
      </c>
      <c r="P55" s="130">
        <v>588.41392741879451</v>
      </c>
      <c r="Q55" s="142"/>
      <c r="R55" s="143">
        <v>536.58902303999992</v>
      </c>
      <c r="S55" s="143">
        <v>546.63715640000009</v>
      </c>
      <c r="T55" s="144">
        <v>509.82332176000006</v>
      </c>
      <c r="U55" s="144">
        <v>500.08106459999999</v>
      </c>
      <c r="V55" s="142"/>
      <c r="W55" s="143">
        <v>481.77300178000007</v>
      </c>
      <c r="X55" s="143">
        <v>492.45135690000006</v>
      </c>
      <c r="Y55" s="143">
        <v>505.26522210000002</v>
      </c>
      <c r="Z55" s="144">
        <v>538.5932573099999</v>
      </c>
      <c r="AA55" s="122"/>
      <c r="AB55" s="143">
        <v>448.33729335814667</v>
      </c>
      <c r="AC55" s="143">
        <v>423.57305259376005</v>
      </c>
      <c r="AD55" s="143">
        <v>505.32033814729994</v>
      </c>
      <c r="AE55" s="143">
        <v>555.53908717472916</v>
      </c>
      <c r="AF55" s="143">
        <v>519.84959160266249</v>
      </c>
    </row>
    <row r="56" spans="1:32" ht="12.6" customHeight="1">
      <c r="A56" s="146" t="s">
        <v>22</v>
      </c>
      <c r="B56" s="200"/>
      <c r="C56" s="201"/>
      <c r="D56" s="201"/>
      <c r="E56" s="201"/>
      <c r="F56" s="201"/>
      <c r="G56" s="201"/>
      <c r="H56" s="201"/>
      <c r="I56" s="201"/>
      <c r="J56" s="201"/>
      <c r="K56" s="201"/>
      <c r="L56" s="147"/>
      <c r="M56" s="148">
        <f>SUM(M52:M55)</f>
        <v>9621.5564173256716</v>
      </c>
      <c r="N56" s="148">
        <f>SUM(N52:N55)</f>
        <v>9805.095971707322</v>
      </c>
      <c r="O56" s="148">
        <f t="shared" ref="O56" si="3">SUM(O52:O55)</f>
        <v>10186.721256045212</v>
      </c>
      <c r="P56" s="148">
        <v>10844.122022715463</v>
      </c>
      <c r="Q56" s="147"/>
      <c r="R56" s="148">
        <f>SUM(R52:R55)</f>
        <v>9742.8879478100007</v>
      </c>
      <c r="S56" s="148">
        <f>SUM(S52:S55)</f>
        <v>9946.7084223009133</v>
      </c>
      <c r="T56" s="148">
        <f>SUM(T52:T55)</f>
        <v>9499.1375733415098</v>
      </c>
      <c r="U56" s="148">
        <f>SUM(U52:U55)</f>
        <v>9520.8269302777226</v>
      </c>
      <c r="V56" s="147"/>
      <c r="W56" s="148">
        <f>SUM(W52:W55)</f>
        <v>9011.3739664255172</v>
      </c>
      <c r="X56" s="148">
        <f>SUM(X52:X55)</f>
        <v>9175.8813240492491</v>
      </c>
      <c r="Y56" s="148">
        <f>SUM(Y52:Y55)</f>
        <v>9444.1500166394544</v>
      </c>
      <c r="Z56" s="148">
        <f>SUM(Z52:Z55)</f>
        <v>9733.2650052829031</v>
      </c>
      <c r="AA56" s="149"/>
      <c r="AB56" s="148">
        <v>8526.2167426211454</v>
      </c>
      <c r="AC56" s="148">
        <v>8077.1767442039563</v>
      </c>
      <c r="AD56" s="148">
        <v>8851.5023129283054</v>
      </c>
      <c r="AE56" s="148">
        <v>8406.9100072862475</v>
      </c>
      <c r="AF56" s="148">
        <v>7424.7158944815419</v>
      </c>
    </row>
    <row r="57" spans="1:32" ht="12.6" customHeight="1">
      <c r="A57" s="88"/>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88"/>
      <c r="AF57" s="88"/>
    </row>
    <row r="58" spans="1:32" ht="12.6" customHeight="1">
      <c r="A58" s="77" t="s">
        <v>2273</v>
      </c>
      <c r="B58" s="77"/>
      <c r="C58" s="77"/>
      <c r="D58" s="77"/>
      <c r="E58" s="77"/>
      <c r="F58" s="77"/>
      <c r="G58" s="77"/>
      <c r="H58" s="77"/>
      <c r="I58" s="77"/>
      <c r="J58" s="88"/>
      <c r="K58" s="77"/>
      <c r="L58" s="77"/>
      <c r="M58" s="77"/>
      <c r="N58" s="77"/>
      <c r="O58" s="88"/>
      <c r="P58" s="88"/>
      <c r="Q58" s="77"/>
      <c r="R58" s="88"/>
      <c r="S58" s="88"/>
      <c r="T58" s="88"/>
      <c r="U58" s="88"/>
      <c r="V58" s="88"/>
      <c r="W58" s="88"/>
      <c r="X58" s="88"/>
      <c r="Y58" s="88"/>
      <c r="Z58" s="88"/>
      <c r="AA58" s="88"/>
      <c r="AB58" s="88"/>
      <c r="AC58" s="88"/>
      <c r="AD58" s="88"/>
      <c r="AE58" s="88"/>
      <c r="AF58" s="88"/>
    </row>
    <row r="59" spans="1:32" ht="12.6" customHeight="1">
      <c r="A59" s="104" t="s">
        <v>2018</v>
      </c>
      <c r="B59" s="104"/>
      <c r="C59" s="104"/>
      <c r="D59" s="104"/>
      <c r="E59" s="104"/>
      <c r="F59" s="104"/>
      <c r="G59" s="104"/>
      <c r="H59" s="104"/>
      <c r="I59" s="104"/>
      <c r="J59" s="88"/>
      <c r="K59" s="104"/>
      <c r="L59" s="104"/>
      <c r="M59" s="104"/>
      <c r="N59" s="104"/>
      <c r="O59" s="88"/>
      <c r="P59" s="88"/>
      <c r="Q59" s="104"/>
      <c r="R59" s="88"/>
      <c r="S59" s="88"/>
      <c r="T59" s="88"/>
      <c r="U59" s="150"/>
      <c r="V59" s="88"/>
      <c r="W59" s="88"/>
      <c r="X59" s="100"/>
      <c r="Y59" s="100"/>
      <c r="Z59" s="100"/>
      <c r="AA59" s="100"/>
      <c r="AB59" s="88"/>
      <c r="AC59" s="100"/>
      <c r="AD59" s="88"/>
      <c r="AE59" s="88"/>
      <c r="AF59" s="88"/>
    </row>
    <row r="60" spans="1:32" ht="12.6" customHeight="1">
      <c r="A60" s="104" t="s">
        <v>779</v>
      </c>
      <c r="B60" s="104"/>
      <c r="C60" s="104"/>
      <c r="D60" s="104"/>
      <c r="E60" s="104"/>
      <c r="F60" s="104"/>
      <c r="G60" s="104"/>
      <c r="H60" s="104"/>
      <c r="I60" s="104"/>
      <c r="J60" s="88"/>
      <c r="K60" s="104"/>
      <c r="L60" s="104"/>
      <c r="M60" s="104"/>
      <c r="N60" s="104"/>
      <c r="O60" s="88"/>
      <c r="P60" s="88"/>
      <c r="Q60" s="104"/>
      <c r="R60" s="88"/>
      <c r="S60" s="88"/>
      <c r="T60" s="88"/>
      <c r="U60" s="88"/>
      <c r="V60" s="88"/>
      <c r="W60" s="88"/>
      <c r="X60" s="88"/>
      <c r="Y60" s="88"/>
      <c r="Z60" s="88"/>
      <c r="AA60" s="88"/>
      <c r="AB60" s="88"/>
      <c r="AC60" s="88"/>
      <c r="AD60" s="88"/>
      <c r="AE60" s="88"/>
      <c r="AF60" s="88"/>
    </row>
    <row r="61" spans="1:32" ht="12.6" customHeight="1">
      <c r="A61" s="104" t="s">
        <v>1463</v>
      </c>
      <c r="B61" s="104"/>
      <c r="C61" s="104"/>
      <c r="D61" s="104"/>
      <c r="E61" s="104"/>
      <c r="F61" s="104"/>
      <c r="G61" s="104"/>
      <c r="H61" s="104"/>
      <c r="I61" s="104"/>
      <c r="J61" s="88"/>
      <c r="K61" s="104"/>
      <c r="L61" s="104"/>
      <c r="M61" s="104"/>
      <c r="N61" s="104"/>
      <c r="O61" s="88"/>
      <c r="P61" s="88"/>
      <c r="Q61" s="104"/>
      <c r="R61" s="88"/>
      <c r="S61" s="88"/>
      <c r="T61" s="88"/>
      <c r="U61" s="88"/>
      <c r="V61" s="88"/>
      <c r="W61" s="88"/>
      <c r="X61" s="88"/>
      <c r="Y61" s="88"/>
      <c r="Z61" s="88"/>
      <c r="AA61" s="88"/>
      <c r="AB61" s="88"/>
      <c r="AC61" s="88"/>
      <c r="AD61" s="88"/>
      <c r="AE61" s="88"/>
      <c r="AF61" s="88"/>
    </row>
    <row r="62" spans="1:32" ht="12.6" customHeight="1">
      <c r="A62" s="104" t="s">
        <v>1911</v>
      </c>
      <c r="B62" s="104"/>
      <c r="C62" s="104"/>
      <c r="D62" s="104"/>
      <c r="E62" s="104"/>
      <c r="F62" s="104"/>
      <c r="G62" s="104"/>
      <c r="H62" s="104"/>
      <c r="I62" s="104"/>
      <c r="J62" s="88"/>
      <c r="K62" s="104"/>
      <c r="L62" s="104"/>
      <c r="M62" s="104"/>
      <c r="N62" s="104"/>
      <c r="O62" s="88"/>
      <c r="P62" s="88"/>
      <c r="Q62" s="104"/>
      <c r="R62" s="88"/>
      <c r="S62" s="88"/>
      <c r="T62" s="88"/>
      <c r="U62" s="88"/>
      <c r="V62" s="88"/>
      <c r="W62" s="88"/>
      <c r="X62" s="88"/>
      <c r="Y62" s="88"/>
      <c r="Z62" s="88"/>
      <c r="AA62" s="88"/>
      <c r="AB62" s="88"/>
      <c r="AC62" s="88"/>
      <c r="AD62" s="88"/>
      <c r="AE62" s="88"/>
      <c r="AF62" s="88"/>
    </row>
    <row r="63" spans="1:32" ht="12.6" customHeight="1">
      <c r="A63" s="88"/>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row>
  </sheetData>
  <mergeCells count="1">
    <mergeCell ref="B51:K56"/>
  </mergeCells>
  <phoneticPr fontId="0" type="noConversion"/>
  <pageMargins left="0.75" right="0.75" top="1" bottom="1" header="0.5" footer="0.5"/>
  <pageSetup scale="70" orientation="landscape"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8:AA80"/>
  <sheetViews>
    <sheetView zoomScaleNormal="100" workbookViewId="0">
      <selection activeCell="A35" sqref="A35"/>
    </sheetView>
  </sheetViews>
  <sheetFormatPr defaultColWidth="8.85546875" defaultRowHeight="12.6" customHeight="1"/>
  <cols>
    <col min="1" max="1" width="30.85546875" style="9" customWidth="1"/>
    <col min="2" max="5" width="8.5703125" style="9" customWidth="1"/>
    <col min="6" max="6" width="8" style="9" bestFit="1" customWidth="1"/>
    <col min="7" max="21" width="8.5703125" style="9" customWidth="1"/>
    <col min="22" max="23" width="9.42578125" style="9" bestFit="1" customWidth="1"/>
    <col min="24" max="16384" width="8.85546875" style="9"/>
  </cols>
  <sheetData>
    <row r="8" spans="1:16" ht="12.6" customHeight="1">
      <c r="A8" s="34" t="s">
        <v>49</v>
      </c>
      <c r="B8" s="8"/>
      <c r="C8" s="8"/>
      <c r="D8" s="8"/>
      <c r="E8" s="8"/>
      <c r="F8" s="8"/>
      <c r="G8" s="8"/>
      <c r="H8" s="8"/>
      <c r="I8" s="8"/>
      <c r="J8" s="8"/>
      <c r="K8" s="8"/>
      <c r="L8" s="8"/>
      <c r="M8" s="8"/>
      <c r="N8" s="8"/>
      <c r="O8" s="8"/>
      <c r="P8" s="8"/>
    </row>
    <row r="9" spans="1:16" ht="12.6" customHeight="1">
      <c r="A9" s="77" t="s">
        <v>3</v>
      </c>
      <c r="B9" s="8"/>
      <c r="C9" s="8"/>
      <c r="D9" s="8"/>
      <c r="E9" s="8"/>
      <c r="F9" s="8"/>
      <c r="G9" s="8"/>
      <c r="H9" s="8"/>
      <c r="I9" s="8"/>
      <c r="J9" s="8"/>
      <c r="K9" s="8"/>
      <c r="L9" s="8"/>
      <c r="M9" s="8"/>
      <c r="N9" s="8"/>
      <c r="O9" s="8"/>
      <c r="P9" s="8"/>
    </row>
    <row r="10" spans="1:16" ht="12.6" customHeight="1">
      <c r="A10" s="29"/>
      <c r="B10" s="8"/>
      <c r="C10" s="8"/>
      <c r="D10" s="8"/>
      <c r="E10" s="8"/>
      <c r="F10" s="8"/>
      <c r="G10" s="8"/>
      <c r="H10" s="8"/>
      <c r="I10" s="8"/>
      <c r="J10" s="8"/>
      <c r="K10" s="8"/>
      <c r="L10" s="8"/>
      <c r="M10" s="8"/>
      <c r="N10" s="8"/>
      <c r="O10" s="8"/>
      <c r="P10" s="8"/>
    </row>
    <row r="11" spans="1:16" ht="12.6" customHeight="1">
      <c r="A11" s="27" t="s">
        <v>768</v>
      </c>
      <c r="B11" s="8"/>
      <c r="C11" s="8"/>
      <c r="D11" s="8"/>
      <c r="E11" s="8"/>
      <c r="F11" s="8"/>
      <c r="G11" s="8"/>
      <c r="H11" s="8"/>
      <c r="I11" s="8"/>
      <c r="J11" s="8"/>
      <c r="K11" s="8"/>
      <c r="L11" s="8"/>
      <c r="M11" s="8"/>
      <c r="N11" s="8"/>
      <c r="O11" s="8"/>
      <c r="P11" s="8"/>
    </row>
    <row r="13" spans="1:16" ht="12.6" customHeight="1">
      <c r="A13" s="77" t="s">
        <v>1312</v>
      </c>
      <c r="B13" s="18"/>
      <c r="C13" s="18"/>
      <c r="D13" s="18"/>
      <c r="E13" s="18"/>
      <c r="F13" s="18"/>
      <c r="G13" s="18"/>
      <c r="I13" s="18"/>
      <c r="J13" s="18"/>
      <c r="K13" s="18"/>
      <c r="L13" s="18"/>
    </row>
    <row r="14" spans="1:16" ht="12.6" customHeight="1">
      <c r="A14" s="79"/>
      <c r="B14" s="112" t="s">
        <v>561</v>
      </c>
      <c r="C14" s="112" t="s">
        <v>787</v>
      </c>
      <c r="D14" s="112" t="s">
        <v>825</v>
      </c>
      <c r="E14" s="112" t="s">
        <v>826</v>
      </c>
      <c r="F14" s="88"/>
      <c r="G14" s="112" t="s">
        <v>404</v>
      </c>
      <c r="H14" s="112" t="s">
        <v>405</v>
      </c>
      <c r="I14" s="112" t="s">
        <v>406</v>
      </c>
      <c r="J14" s="112" t="s">
        <v>407</v>
      </c>
      <c r="K14" s="88"/>
      <c r="L14" s="116">
        <v>2018</v>
      </c>
      <c r="M14" s="116">
        <v>2017</v>
      </c>
      <c r="N14" s="116">
        <v>2016</v>
      </c>
      <c r="O14" s="116">
        <v>2015</v>
      </c>
    </row>
    <row r="15" spans="1:16" ht="12.6" customHeight="1">
      <c r="A15" s="101" t="s">
        <v>11</v>
      </c>
      <c r="B15" s="90">
        <v>51.5161914415864</v>
      </c>
      <c r="C15" s="90">
        <v>50.768230137365599</v>
      </c>
      <c r="D15" s="90">
        <v>52.435683114759151</v>
      </c>
      <c r="E15" s="90">
        <v>51.286756769806907</v>
      </c>
      <c r="F15" s="88"/>
      <c r="G15" s="90">
        <v>55.159704287188553</v>
      </c>
      <c r="H15" s="90">
        <v>54.404721740318728</v>
      </c>
      <c r="I15" s="90">
        <v>53.541184945068608</v>
      </c>
      <c r="J15" s="90">
        <v>52.51504551648145</v>
      </c>
      <c r="K15" s="88"/>
      <c r="L15" s="90">
        <v>51.959708941168309</v>
      </c>
      <c r="M15" s="90">
        <v>55.034801104469565</v>
      </c>
      <c r="N15" s="90">
        <v>53.112699121331815</v>
      </c>
      <c r="O15" s="90">
        <v>54.937085908410673</v>
      </c>
    </row>
    <row r="16" spans="1:16" ht="12.6" customHeight="1">
      <c r="A16" s="101" t="s">
        <v>12</v>
      </c>
      <c r="B16" s="90">
        <v>117.46424796482503</v>
      </c>
      <c r="C16" s="90">
        <v>116.23220384540747</v>
      </c>
      <c r="D16" s="90">
        <v>120.8884667427975</v>
      </c>
      <c r="E16" s="90">
        <v>111.06440606119853</v>
      </c>
      <c r="F16" s="88"/>
      <c r="G16" s="90">
        <v>109.48802473001342</v>
      </c>
      <c r="H16" s="90">
        <v>122.17895765092382</v>
      </c>
      <c r="I16" s="90">
        <v>120.22500230056082</v>
      </c>
      <c r="J16" s="90">
        <v>122.27672604873185</v>
      </c>
      <c r="K16" s="88"/>
      <c r="L16" s="90">
        <v>108.95888613177789</v>
      </c>
      <c r="M16" s="90">
        <v>102.57951288173025</v>
      </c>
      <c r="N16" s="90">
        <v>86.594428282061287</v>
      </c>
      <c r="O16" s="90">
        <v>73.102436269536923</v>
      </c>
    </row>
    <row r="17" spans="1:15" ht="12.6" customHeight="1">
      <c r="A17" s="101" t="s">
        <v>13</v>
      </c>
      <c r="B17" s="90">
        <v>46.47458016876223</v>
      </c>
      <c r="C17" s="90">
        <v>49.133735035965167</v>
      </c>
      <c r="D17" s="90">
        <v>45.816933130786069</v>
      </c>
      <c r="E17" s="90">
        <v>51.116266955039556</v>
      </c>
      <c r="F17" s="88"/>
      <c r="G17" s="90">
        <v>42.111000087362775</v>
      </c>
      <c r="H17" s="90">
        <v>44.399809768313965</v>
      </c>
      <c r="I17" s="90">
        <v>45.369241797646865</v>
      </c>
      <c r="J17" s="90">
        <v>49.11859313279345</v>
      </c>
      <c r="K17" s="88"/>
      <c r="L17" s="90">
        <v>53.222443325067346</v>
      </c>
      <c r="M17" s="90">
        <v>71.139026787139088</v>
      </c>
      <c r="N17" s="90">
        <v>78.45087691224434</v>
      </c>
      <c r="O17" s="90">
        <v>76.465598382137344</v>
      </c>
    </row>
    <row r="18" spans="1:15" ht="12.6" customHeight="1">
      <c r="A18" s="101" t="s">
        <v>14</v>
      </c>
      <c r="B18" s="90">
        <v>12.658736911061675</v>
      </c>
      <c r="C18" s="90">
        <v>12.632582569755256</v>
      </c>
      <c r="D18" s="90">
        <v>9.6988777799094503</v>
      </c>
      <c r="E18" s="90">
        <v>10.332308872156451</v>
      </c>
      <c r="F18" s="88"/>
      <c r="G18" s="90">
        <v>16.311811487473296</v>
      </c>
      <c r="H18" s="90">
        <v>16.284283825907728</v>
      </c>
      <c r="I18" s="90">
        <v>15.364182662654915</v>
      </c>
      <c r="J18" s="90">
        <v>14.589047542384574</v>
      </c>
      <c r="K18" s="88"/>
      <c r="L18" s="90">
        <v>16.409142567064926</v>
      </c>
      <c r="M18" s="90">
        <v>16.582351142166253</v>
      </c>
      <c r="N18" s="90">
        <v>17.271821269664752</v>
      </c>
      <c r="O18" s="90">
        <v>19.526503960107977</v>
      </c>
    </row>
    <row r="19" spans="1:15" ht="12.6" customHeight="1">
      <c r="A19" s="101" t="s">
        <v>15</v>
      </c>
      <c r="B19" s="90">
        <v>27.642112341204491</v>
      </c>
      <c r="C19" s="90">
        <v>27.989072502532995</v>
      </c>
      <c r="D19" s="90">
        <v>26.549995246446496</v>
      </c>
      <c r="E19" s="90">
        <v>26.318122539687945</v>
      </c>
      <c r="F19" s="88"/>
      <c r="G19" s="90">
        <v>26.318386189613921</v>
      </c>
      <c r="H19" s="90">
        <v>26.07507844907893</v>
      </c>
      <c r="I19" s="90">
        <v>23.594960414503092</v>
      </c>
      <c r="J19" s="90">
        <v>24.587823458799644</v>
      </c>
      <c r="K19" s="88"/>
      <c r="L19" s="90">
        <v>26.503449135000658</v>
      </c>
      <c r="M19" s="90">
        <v>27.613064104589256</v>
      </c>
      <c r="N19" s="90">
        <v>31.966609708426628</v>
      </c>
      <c r="O19" s="90">
        <v>35.580854554768536</v>
      </c>
    </row>
    <row r="20" spans="1:15" ht="12.6" customHeight="1">
      <c r="A20" s="101" t="s">
        <v>16</v>
      </c>
      <c r="B20" s="90">
        <v>144.81188930527301</v>
      </c>
      <c r="C20" s="90">
        <v>152.67091662757042</v>
      </c>
      <c r="D20" s="90">
        <v>149.369261047603</v>
      </c>
      <c r="E20" s="90">
        <v>154.25279869844258</v>
      </c>
      <c r="F20" s="88"/>
      <c r="G20" s="90">
        <v>135.96584518269822</v>
      </c>
      <c r="H20" s="90">
        <v>132.73751215691789</v>
      </c>
      <c r="I20" s="90">
        <v>132.11302733638954</v>
      </c>
      <c r="J20" s="90">
        <v>149.94332269482155</v>
      </c>
      <c r="K20" s="88"/>
      <c r="L20" s="90">
        <v>139.26291551742776</v>
      </c>
      <c r="M20" s="90">
        <v>135.43098384758883</v>
      </c>
      <c r="N20" s="90">
        <v>136.38250331770314</v>
      </c>
      <c r="O20" s="90">
        <v>146.57026105276785</v>
      </c>
    </row>
    <row r="21" spans="1:15" ht="12.6" customHeight="1">
      <c r="A21" s="102" t="s">
        <v>17</v>
      </c>
      <c r="B21" s="90">
        <v>160.02515971005678</v>
      </c>
      <c r="C21" s="90">
        <v>160.66340894775988</v>
      </c>
      <c r="D21" s="90">
        <v>154.66621672229067</v>
      </c>
      <c r="E21" s="90">
        <f>153.595628859048</f>
        <v>153.59562885904799</v>
      </c>
      <c r="F21" s="88"/>
      <c r="G21" s="90">
        <v>163.7394052652985</v>
      </c>
      <c r="H21" s="90">
        <v>166.78593873442489</v>
      </c>
      <c r="I21" s="90">
        <v>162.45697616645913</v>
      </c>
      <c r="J21" s="90">
        <v>161.04648534607841</v>
      </c>
      <c r="K21" s="88"/>
      <c r="L21" s="90">
        <v>181.37791042951491</v>
      </c>
      <c r="M21" s="90">
        <v>187.52348518676172</v>
      </c>
      <c r="N21" s="90">
        <v>208.3047080595955</v>
      </c>
      <c r="O21" s="90">
        <v>233.14761107583618</v>
      </c>
    </row>
    <row r="22" spans="1:15" ht="12.6" customHeight="1">
      <c r="A22" s="101" t="s">
        <v>571</v>
      </c>
      <c r="B22" s="90">
        <v>4.676288029818199</v>
      </c>
      <c r="C22" s="90">
        <v>4.6715044873928351</v>
      </c>
      <c r="D22" s="90">
        <v>4.621249975533261</v>
      </c>
      <c r="E22" s="90">
        <v>4.9245783187076411</v>
      </c>
      <c r="F22" s="88"/>
      <c r="G22" s="90">
        <v>5.2834097318755102</v>
      </c>
      <c r="H22" s="90">
        <v>5.3145939869676351</v>
      </c>
      <c r="I22" s="90">
        <v>5.0324798663849801</v>
      </c>
      <c r="J22" s="90">
        <v>4.8013560382648484</v>
      </c>
      <c r="K22" s="88"/>
      <c r="L22" s="90">
        <v>5.5081746269055669</v>
      </c>
      <c r="M22" s="90">
        <v>6.0569542950468183</v>
      </c>
      <c r="N22" s="90">
        <v>7.2843774723532793</v>
      </c>
      <c r="O22" s="90">
        <v>8.5971286197034118</v>
      </c>
    </row>
    <row r="23" spans="1:15" ht="12.6" customHeight="1">
      <c r="A23" s="101" t="s">
        <v>18</v>
      </c>
      <c r="B23" s="90">
        <v>16.846136693654845</v>
      </c>
      <c r="C23" s="90">
        <v>16.709167071014047</v>
      </c>
      <c r="D23" s="90">
        <v>17.354131273642111</v>
      </c>
      <c r="E23" s="90">
        <v>18.051207528530956</v>
      </c>
      <c r="F23" s="88"/>
      <c r="G23" s="90">
        <v>25.000883466180827</v>
      </c>
      <c r="H23" s="90">
        <v>22.941578558524679</v>
      </c>
      <c r="I23" s="90">
        <v>21.745853888534601</v>
      </c>
      <c r="J23" s="90">
        <v>20.778308957481148</v>
      </c>
      <c r="K23" s="88"/>
      <c r="L23" s="90">
        <v>28.896256115883851</v>
      </c>
      <c r="M23" s="90">
        <v>28.733147560620566</v>
      </c>
      <c r="N23" s="90">
        <v>31.524897376568966</v>
      </c>
      <c r="O23" s="90">
        <v>34.076317261755378</v>
      </c>
    </row>
    <row r="24" spans="1:15" ht="12.6" customHeight="1">
      <c r="A24" s="101" t="s">
        <v>19</v>
      </c>
      <c r="B24" s="90">
        <v>138.28773381652269</v>
      </c>
      <c r="C24" s="90">
        <v>140.94661078716237</v>
      </c>
      <c r="D24" s="90">
        <v>144.37528918624579</v>
      </c>
      <c r="E24" s="90">
        <v>158.39658638647714</v>
      </c>
      <c r="F24" s="88"/>
      <c r="G24" s="90">
        <v>142.9350568031461</v>
      </c>
      <c r="H24" s="90">
        <v>138.61020439145042</v>
      </c>
      <c r="I24" s="90">
        <v>135.53279535270852</v>
      </c>
      <c r="J24" s="90">
        <v>142.34700217393885</v>
      </c>
      <c r="K24" s="88"/>
      <c r="L24" s="90">
        <v>155.52772543302984</v>
      </c>
      <c r="M24" s="90">
        <v>159.0902264494535</v>
      </c>
      <c r="N24" s="90">
        <v>159.23696081390727</v>
      </c>
      <c r="O24" s="90">
        <v>159.19585572451101</v>
      </c>
    </row>
    <row r="25" spans="1:15" ht="12.6" customHeight="1">
      <c r="A25" s="101" t="s">
        <v>564</v>
      </c>
      <c r="B25" s="90">
        <v>4.2251675123283263</v>
      </c>
      <c r="C25" s="90">
        <v>4.3810956271948731</v>
      </c>
      <c r="D25" s="90">
        <v>4.66061248877757</v>
      </c>
      <c r="E25" s="90">
        <v>4.6703250487052363</v>
      </c>
      <c r="F25" s="88"/>
      <c r="G25" s="90">
        <v>3.7928797537970573</v>
      </c>
      <c r="H25" s="90">
        <v>3.9665823890231882</v>
      </c>
      <c r="I25" s="90">
        <v>3.5988972921746347</v>
      </c>
      <c r="J25" s="90">
        <v>3.8126923627624905</v>
      </c>
      <c r="K25" s="88"/>
      <c r="L25" s="90">
        <v>3.3620663822838646</v>
      </c>
      <c r="M25" s="90">
        <v>2.5621009525031777</v>
      </c>
      <c r="N25" s="90">
        <v>1.8382654214762648</v>
      </c>
      <c r="O25" s="90">
        <v>1.3913625786845434</v>
      </c>
    </row>
    <row r="26" spans="1:15" ht="12.6" customHeight="1">
      <c r="A26" s="101" t="s">
        <v>20</v>
      </c>
      <c r="B26" s="90">
        <v>259.699423876857</v>
      </c>
      <c r="C26" s="90">
        <v>256.73242820560841</v>
      </c>
      <c r="D26" s="90">
        <v>249.61429174573104</v>
      </c>
      <c r="E26" s="90">
        <v>243.00016228048531</v>
      </c>
      <c r="F26" s="88"/>
      <c r="G26" s="90">
        <v>258.16813017321482</v>
      </c>
      <c r="H26" s="90">
        <v>256.10447130645497</v>
      </c>
      <c r="I26" s="90">
        <v>254.71142598072765</v>
      </c>
      <c r="J26" s="90">
        <v>255.96754515444883</v>
      </c>
      <c r="K26" s="88"/>
      <c r="L26" s="90">
        <v>247.25325438699156</v>
      </c>
      <c r="M26" s="90">
        <v>241.0155707916806</v>
      </c>
      <c r="N26" s="90">
        <v>250.45442525321513</v>
      </c>
      <c r="O26" s="90">
        <v>276.79152810910421</v>
      </c>
    </row>
    <row r="27" spans="1:15" ht="12.6" customHeight="1">
      <c r="A27" s="101" t="s">
        <v>60</v>
      </c>
      <c r="B27" s="90">
        <v>6.3085477521361337</v>
      </c>
      <c r="C27" s="90">
        <v>5.8028084708622485</v>
      </c>
      <c r="D27" s="90">
        <v>5.5586337540588433</v>
      </c>
      <c r="E27" s="90">
        <v>5.7968083633457184</v>
      </c>
      <c r="F27" s="88"/>
      <c r="G27" s="90">
        <v>6.5867349972078504</v>
      </c>
      <c r="H27" s="90">
        <v>6.2028745636960299</v>
      </c>
      <c r="I27" s="90">
        <v>5.8542122160459797</v>
      </c>
      <c r="J27" s="90">
        <v>6.814573994959674</v>
      </c>
      <c r="K27" s="88"/>
      <c r="L27" s="90">
        <v>6.5302470915334681</v>
      </c>
      <c r="M27" s="90">
        <v>6.3465778480996908</v>
      </c>
      <c r="N27" s="90">
        <v>6.0867021891766582</v>
      </c>
      <c r="O27" s="90">
        <v>7.2248365201179787</v>
      </c>
    </row>
    <row r="28" spans="1:15" ht="12.6" customHeight="1">
      <c r="A28" s="103" t="s">
        <v>1786</v>
      </c>
      <c r="B28" s="91">
        <v>726.7116241349014</v>
      </c>
      <c r="C28" s="91">
        <v>738.22024048278843</v>
      </c>
      <c r="D28" s="91">
        <v>731.33473797407225</v>
      </c>
      <c r="E28" s="91">
        <v>745.13546935244051</v>
      </c>
      <c r="F28" s="88"/>
      <c r="G28" s="91">
        <v>728.90026222805909</v>
      </c>
      <c r="H28" s="91">
        <v>735.93555382652471</v>
      </c>
      <c r="I28" s="91">
        <v>720.82991694695693</v>
      </c>
      <c r="J28" s="91">
        <v>748.81828490473538</v>
      </c>
      <c r="K28" s="88"/>
      <c r="L28" s="91">
        <v>774.15685931437463</v>
      </c>
      <c r="M28" s="91">
        <v>796.1301312076655</v>
      </c>
      <c r="N28" s="91">
        <v>816.21658452303348</v>
      </c>
      <c r="O28" s="91">
        <v>848.42448932965351</v>
      </c>
    </row>
    <row r="29" spans="1:15" ht="12.6" customHeight="1">
      <c r="A29" s="103" t="s">
        <v>1787</v>
      </c>
      <c r="B29" s="91">
        <v>990.63621552408677</v>
      </c>
      <c r="C29" s="91">
        <v>999.33376431559168</v>
      </c>
      <c r="D29" s="91">
        <v>985.60964220858091</v>
      </c>
      <c r="E29" s="91">
        <v>992.80595668163096</v>
      </c>
      <c r="F29" s="88"/>
      <c r="G29" s="91">
        <v>990.86127215507088</v>
      </c>
      <c r="H29" s="91">
        <v>996.00660752200281</v>
      </c>
      <c r="I29" s="91">
        <v>979.14024021985927</v>
      </c>
      <c r="J29" s="91">
        <v>1008.5985224219468</v>
      </c>
      <c r="K29" s="88"/>
      <c r="L29" s="91">
        <v>1024.77218008365</v>
      </c>
      <c r="M29" s="91">
        <v>1039.7078029518493</v>
      </c>
      <c r="N29" s="91">
        <v>1068.5092751977249</v>
      </c>
      <c r="O29" s="91">
        <v>1126.6073800174422</v>
      </c>
    </row>
    <row r="30" spans="1:15" ht="12.6" customHeight="1">
      <c r="A30" s="103" t="s">
        <v>91</v>
      </c>
      <c r="B30" s="91">
        <v>9742.8879478100007</v>
      </c>
      <c r="C30" s="148">
        <v>9946.7084223009133</v>
      </c>
      <c r="D30" s="91">
        <v>9499.1375733415098</v>
      </c>
      <c r="E30" s="91">
        <v>9520.8269302777226</v>
      </c>
      <c r="F30" s="88"/>
      <c r="G30" s="121">
        <v>9011.3739664255172</v>
      </c>
      <c r="H30" s="121">
        <v>9175.8813240492491</v>
      </c>
      <c r="I30" s="91">
        <v>9444.1500166394544</v>
      </c>
      <c r="J30" s="91">
        <v>9733.2650052829031</v>
      </c>
      <c r="K30" s="88"/>
      <c r="L30" s="83">
        <v>8526.2167426211454</v>
      </c>
      <c r="M30" s="83">
        <v>8077.1767442039563</v>
      </c>
      <c r="N30" s="83">
        <v>8851.5023129283054</v>
      </c>
      <c r="O30" s="83">
        <v>8406.9100072862475</v>
      </c>
    </row>
    <row r="31" spans="1:15" ht="12.6" customHeight="1">
      <c r="A31" s="88"/>
      <c r="B31" s="88"/>
      <c r="C31" s="88"/>
      <c r="D31" s="88"/>
      <c r="E31" s="88"/>
      <c r="F31" s="88"/>
      <c r="G31" s="88"/>
      <c r="H31" s="88"/>
      <c r="I31" s="88"/>
      <c r="J31" s="88"/>
      <c r="K31" s="88"/>
      <c r="L31" s="88"/>
      <c r="M31" s="88"/>
      <c r="N31" s="88"/>
      <c r="O31" s="88"/>
    </row>
    <row r="32" spans="1:15" ht="12.6" customHeight="1">
      <c r="A32" s="101" t="s">
        <v>577</v>
      </c>
      <c r="B32" s="127" t="s">
        <v>45</v>
      </c>
      <c r="C32" s="127" t="s">
        <v>45</v>
      </c>
      <c r="D32" s="127" t="s">
        <v>45</v>
      </c>
      <c r="E32" s="127" t="s">
        <v>45</v>
      </c>
      <c r="F32" s="88"/>
      <c r="G32" s="118">
        <v>130.05581052350098</v>
      </c>
      <c r="H32" s="118">
        <v>137.2517</v>
      </c>
      <c r="I32" s="118">
        <v>137.71706287510793</v>
      </c>
      <c r="J32" s="118">
        <v>146.09941551191349</v>
      </c>
      <c r="K32" s="88"/>
      <c r="L32" s="118">
        <v>120.10787625095978</v>
      </c>
      <c r="M32" s="118">
        <v>107.30999684246471</v>
      </c>
      <c r="N32" s="118">
        <v>105.5601033590211</v>
      </c>
      <c r="O32" s="118">
        <v>99.903325152416869</v>
      </c>
    </row>
    <row r="33" spans="1:27" ht="12.6" customHeight="1">
      <c r="A33" s="103" t="s">
        <v>1628</v>
      </c>
      <c r="B33" s="128" t="s">
        <v>45</v>
      </c>
      <c r="C33" s="128" t="s">
        <v>45</v>
      </c>
      <c r="D33" s="128" t="s">
        <v>45</v>
      </c>
      <c r="E33" s="128" t="s">
        <v>45</v>
      </c>
      <c r="F33" s="88"/>
      <c r="G33" s="121">
        <f>G29+G32</f>
        <v>1120.9170826785719</v>
      </c>
      <c r="H33" s="121">
        <f t="shared" ref="H33:J33" si="0">H29+H32</f>
        <v>1133.2583075220027</v>
      </c>
      <c r="I33" s="121">
        <f t="shared" si="0"/>
        <v>1116.8573030949672</v>
      </c>
      <c r="J33" s="121">
        <f t="shared" si="0"/>
        <v>1154.6979379338602</v>
      </c>
      <c r="K33" s="88"/>
      <c r="L33" s="121">
        <f>L32+L29</f>
        <v>1144.8800563346099</v>
      </c>
      <c r="M33" s="121">
        <f t="shared" ref="M33:O33" si="1">M32+M29</f>
        <v>1147.017799794314</v>
      </c>
      <c r="N33" s="121">
        <f t="shared" si="1"/>
        <v>1174.069378556746</v>
      </c>
      <c r="O33" s="121">
        <f t="shared" si="1"/>
        <v>1226.5107051698592</v>
      </c>
    </row>
    <row r="35" spans="1:27" ht="12.6" customHeight="1">
      <c r="A35" s="77" t="s">
        <v>2232</v>
      </c>
    </row>
    <row r="36" spans="1:27" ht="12.6" customHeight="1">
      <c r="A36" s="107"/>
      <c r="B36" s="112" t="s">
        <v>2183</v>
      </c>
      <c r="C36" s="112" t="s">
        <v>2231</v>
      </c>
      <c r="D36" s="88"/>
      <c r="E36" s="112" t="s">
        <v>1913</v>
      </c>
      <c r="F36" s="112" t="s">
        <v>1968</v>
      </c>
      <c r="G36" s="112" t="s">
        <v>2019</v>
      </c>
      <c r="H36" s="112" t="s">
        <v>2068</v>
      </c>
      <c r="I36" s="88"/>
      <c r="J36" s="112" t="s">
        <v>1588</v>
      </c>
      <c r="K36" s="112" t="s">
        <v>1661</v>
      </c>
      <c r="L36" s="112" t="s">
        <v>1727</v>
      </c>
      <c r="M36" s="112" t="s">
        <v>1784</v>
      </c>
      <c r="N36" s="88"/>
      <c r="O36" s="112" t="s">
        <v>1309</v>
      </c>
      <c r="P36" s="112" t="s">
        <v>1365</v>
      </c>
      <c r="Q36" s="112" t="s">
        <v>1403</v>
      </c>
      <c r="R36" s="112" t="s">
        <v>1466</v>
      </c>
      <c r="S36" s="88"/>
      <c r="T36" s="112" t="s">
        <v>1047</v>
      </c>
      <c r="U36" s="112" t="s">
        <v>1093</v>
      </c>
      <c r="V36" s="112" t="s">
        <v>1141</v>
      </c>
      <c r="W36" s="112" t="s">
        <v>1193</v>
      </c>
    </row>
    <row r="37" spans="1:27" ht="12.6" customHeight="1">
      <c r="A37" s="101" t="s">
        <v>11</v>
      </c>
      <c r="B37" s="90">
        <v>69.5</v>
      </c>
      <c r="C37" s="90">
        <v>69.361272221608658</v>
      </c>
      <c r="D37" s="88"/>
      <c r="E37" s="90">
        <v>49.8</v>
      </c>
      <c r="F37" s="90">
        <v>49.6</v>
      </c>
      <c r="G37" s="90">
        <v>57.3</v>
      </c>
      <c r="H37" s="90">
        <v>57.1</v>
      </c>
      <c r="I37" s="88"/>
      <c r="J37" s="90">
        <v>46.569361359250699</v>
      </c>
      <c r="K37" s="90">
        <v>51.294615266342454</v>
      </c>
      <c r="L37" s="90">
        <v>50.896604842282912</v>
      </c>
      <c r="M37" s="90">
        <v>50.5</v>
      </c>
      <c r="N37" s="88"/>
      <c r="O37" s="90">
        <v>48.223562820415999</v>
      </c>
      <c r="P37" s="90">
        <v>44.825139150112307</v>
      </c>
      <c r="Q37" s="90">
        <v>44.011122981047748</v>
      </c>
      <c r="R37" s="90">
        <v>46.281041556499694</v>
      </c>
      <c r="S37" s="88"/>
      <c r="T37" s="90">
        <v>50.701942537060901</v>
      </c>
      <c r="U37" s="90">
        <v>49.779804501155247</v>
      </c>
      <c r="V37" s="90">
        <v>49.847262613796907</v>
      </c>
      <c r="W37" s="90">
        <v>49.344574345721846</v>
      </c>
      <c r="AA37" s="9" t="s">
        <v>1095</v>
      </c>
    </row>
    <row r="38" spans="1:27" ht="12.6" customHeight="1">
      <c r="A38" s="101" t="s">
        <v>12</v>
      </c>
      <c r="B38" s="90">
        <v>177</v>
      </c>
      <c r="C38" s="90">
        <v>176.87842066335438</v>
      </c>
      <c r="D38" s="88"/>
      <c r="E38" s="90">
        <v>156.9</v>
      </c>
      <c r="F38" s="90">
        <v>177</v>
      </c>
      <c r="G38" s="90">
        <v>176.7</v>
      </c>
      <c r="H38" s="90">
        <v>185.2</v>
      </c>
      <c r="I38" s="88"/>
      <c r="J38" s="90">
        <v>121.47771994848191</v>
      </c>
      <c r="K38" s="90">
        <f>119.331765050013+49.48085</f>
        <v>168.81261505001299</v>
      </c>
      <c r="L38" s="90">
        <v>175.59108500241379</v>
      </c>
      <c r="M38" s="90">
        <v>176.2</v>
      </c>
      <c r="N38" s="88"/>
      <c r="O38" s="90">
        <v>123.47778317378631</v>
      </c>
      <c r="P38" s="90">
        <v>131.65663562679697</v>
      </c>
      <c r="Q38" s="90">
        <v>125.79489862449419</v>
      </c>
      <c r="R38" s="90">
        <v>121.95336892071032</v>
      </c>
      <c r="S38" s="88"/>
      <c r="T38" s="90">
        <v>112.05283850539109</v>
      </c>
      <c r="U38" s="90">
        <v>113.55755940466132</v>
      </c>
      <c r="V38" s="90">
        <v>122.09435714207072</v>
      </c>
      <c r="W38" s="90">
        <v>121.20160929349234</v>
      </c>
    </row>
    <row r="39" spans="1:27" ht="12.6" customHeight="1">
      <c r="A39" s="101" t="s">
        <v>13</v>
      </c>
      <c r="B39" s="90">
        <v>87.8</v>
      </c>
      <c r="C39" s="90">
        <v>122.16612936613915</v>
      </c>
      <c r="D39" s="88"/>
      <c r="E39" s="90">
        <v>73</v>
      </c>
      <c r="F39" s="90">
        <v>74.400000000000006</v>
      </c>
      <c r="G39" s="90">
        <v>75</v>
      </c>
      <c r="H39" s="90">
        <v>88.6</v>
      </c>
      <c r="I39" s="88"/>
      <c r="J39" s="90">
        <v>80.359911548560092</v>
      </c>
      <c r="K39" s="90">
        <v>79.274573093240818</v>
      </c>
      <c r="L39" s="90">
        <v>76.240983852275008</v>
      </c>
      <c r="M39" s="90">
        <v>75.3</v>
      </c>
      <c r="N39" s="88"/>
      <c r="O39" s="90">
        <v>62.752246816316884</v>
      </c>
      <c r="P39" s="90">
        <v>61.403706420976746</v>
      </c>
      <c r="Q39" s="90">
        <v>74.847281846616241</v>
      </c>
      <c r="R39" s="90">
        <v>71.851750648262595</v>
      </c>
      <c r="S39" s="88"/>
      <c r="T39" s="90">
        <v>49.35588733440499</v>
      </c>
      <c r="U39" s="90">
        <v>50.165322845371058</v>
      </c>
      <c r="V39" s="90">
        <v>52.073466472443101</v>
      </c>
      <c r="W39" s="90">
        <v>65.316462893632163</v>
      </c>
    </row>
    <row r="40" spans="1:27" ht="12.6" customHeight="1">
      <c r="A40" s="101" t="s">
        <v>14</v>
      </c>
      <c r="B40" s="90">
        <v>6</v>
      </c>
      <c r="C40" s="90">
        <v>5.9590682195594811</v>
      </c>
      <c r="D40" s="88"/>
      <c r="E40" s="90">
        <v>9.4</v>
      </c>
      <c r="F40" s="90">
        <v>9.4</v>
      </c>
      <c r="G40" s="90">
        <v>6.1</v>
      </c>
      <c r="H40" s="90">
        <v>6</v>
      </c>
      <c r="I40" s="88"/>
      <c r="J40" s="90">
        <v>9.466236499132906</v>
      </c>
      <c r="K40" s="90">
        <v>9.4560745849592074</v>
      </c>
      <c r="L40" s="90">
        <v>9.4286508782399316</v>
      </c>
      <c r="M40" s="90">
        <v>9.4</v>
      </c>
      <c r="N40" s="88"/>
      <c r="O40" s="90">
        <v>10.147975008262359</v>
      </c>
      <c r="P40" s="90">
        <v>10.142451564396357</v>
      </c>
      <c r="Q40" s="90">
        <v>9.6015761323548325</v>
      </c>
      <c r="R40" s="90">
        <v>9.4938332572419313</v>
      </c>
      <c r="S40" s="88"/>
      <c r="T40" s="90">
        <v>10.312532475839502</v>
      </c>
      <c r="U40" s="90">
        <v>10.312532475839502</v>
      </c>
      <c r="V40" s="90">
        <v>10.294928416728402</v>
      </c>
      <c r="W40" s="90">
        <v>10.294928416728402</v>
      </c>
    </row>
    <row r="41" spans="1:27" ht="12.6" customHeight="1">
      <c r="A41" s="101" t="s">
        <v>15</v>
      </c>
      <c r="B41" s="90">
        <v>33</v>
      </c>
      <c r="C41" s="90">
        <v>31.105921733157953</v>
      </c>
      <c r="D41" s="88"/>
      <c r="E41" s="90">
        <v>33.799999999999997</v>
      </c>
      <c r="F41" s="90">
        <v>34.200000000000003</v>
      </c>
      <c r="G41" s="90">
        <v>33.5</v>
      </c>
      <c r="H41" s="90">
        <v>32.9</v>
      </c>
      <c r="I41" s="88"/>
      <c r="J41" s="90">
        <v>26.617289879712612</v>
      </c>
      <c r="K41" s="90">
        <v>23.309417281405626</v>
      </c>
      <c r="L41" s="90">
        <v>23.063987375241645</v>
      </c>
      <c r="M41" s="90">
        <v>23</v>
      </c>
      <c r="N41" s="88"/>
      <c r="O41" s="90">
        <v>31.336446871285307</v>
      </c>
      <c r="P41" s="90">
        <v>33.525569055544075</v>
      </c>
      <c r="Q41" s="90">
        <v>32.629333148890787</v>
      </c>
      <c r="R41" s="90">
        <v>31.065296973682052</v>
      </c>
      <c r="S41" s="88"/>
      <c r="T41" s="90">
        <v>27.779281380719521</v>
      </c>
      <c r="U41" s="90">
        <v>27.792772529811671</v>
      </c>
      <c r="V41" s="90">
        <v>32.293566099866318</v>
      </c>
      <c r="W41" s="90">
        <v>32.7235176742413</v>
      </c>
    </row>
    <row r="42" spans="1:27" ht="12.6" customHeight="1">
      <c r="A42" s="101" t="s">
        <v>16</v>
      </c>
      <c r="B42" s="90">
        <v>118</v>
      </c>
      <c r="C42" s="90">
        <v>119.49560924608791</v>
      </c>
      <c r="D42" s="88"/>
      <c r="E42" s="90">
        <v>140.6</v>
      </c>
      <c r="F42" s="90">
        <v>131.69999999999999</v>
      </c>
      <c r="G42" s="90">
        <v>127.5</v>
      </c>
      <c r="H42" s="90">
        <v>126</v>
      </c>
      <c r="I42" s="88"/>
      <c r="J42" s="90">
        <v>141.37815885101318</v>
      </c>
      <c r="K42" s="90">
        <v>135.88545118477836</v>
      </c>
      <c r="L42" s="90">
        <v>139.40887160064577</v>
      </c>
      <c r="M42" s="90">
        <v>143.19999999999999</v>
      </c>
      <c r="N42" s="88"/>
      <c r="O42" s="90">
        <v>144.79323437552247</v>
      </c>
      <c r="P42" s="90">
        <v>141.20116110603129</v>
      </c>
      <c r="Q42" s="90">
        <v>134.46409654272756</v>
      </c>
      <c r="R42" s="90">
        <v>146.13038063486229</v>
      </c>
      <c r="S42" s="88"/>
      <c r="T42" s="90">
        <v>144.34594697379333</v>
      </c>
      <c r="U42" s="90">
        <v>145.37045677012267</v>
      </c>
      <c r="V42" s="90">
        <v>140.6966267888408</v>
      </c>
      <c r="W42" s="90">
        <v>147.8159013716936</v>
      </c>
    </row>
    <row r="43" spans="1:27" ht="12.6" customHeight="1">
      <c r="A43" s="102" t="s">
        <v>17</v>
      </c>
      <c r="B43" s="90">
        <v>105.8</v>
      </c>
      <c r="C43" s="90">
        <v>105.46358910752528</v>
      </c>
      <c r="D43" s="88"/>
      <c r="E43" s="90">
        <v>107.7</v>
      </c>
      <c r="F43" s="90">
        <v>107.9</v>
      </c>
      <c r="G43" s="90">
        <v>110.3</v>
      </c>
      <c r="H43" s="90">
        <v>106.9</v>
      </c>
      <c r="I43" s="88"/>
      <c r="J43" s="90">
        <v>120.19541674653884</v>
      </c>
      <c r="K43" s="90">
        <v>122.51316068784746</v>
      </c>
      <c r="L43" s="90">
        <v>122.19063933999617</v>
      </c>
      <c r="M43" s="90">
        <v>110.3</v>
      </c>
      <c r="N43" s="88"/>
      <c r="O43" s="90">
        <v>151.437564609573</v>
      </c>
      <c r="P43" s="90">
        <v>140.27281397728194</v>
      </c>
      <c r="Q43" s="90">
        <v>126.68700112905077</v>
      </c>
      <c r="R43" s="90">
        <v>123.41385830362243</v>
      </c>
      <c r="S43" s="88"/>
      <c r="T43" s="90">
        <v>151.13533122994738</v>
      </c>
      <c r="U43" s="90">
        <v>149.06802631286345</v>
      </c>
      <c r="V43" s="90">
        <v>138.62831539714969</v>
      </c>
      <c r="W43" s="90">
        <v>160.780354196676</v>
      </c>
    </row>
    <row r="44" spans="1:27" ht="12.6" customHeight="1">
      <c r="A44" s="101" t="s">
        <v>571</v>
      </c>
      <c r="B44" s="90">
        <v>5.8999999999999773</v>
      </c>
      <c r="C44" s="90">
        <v>5.8867521390605013</v>
      </c>
      <c r="D44" s="88"/>
      <c r="E44" s="90">
        <f>240.7-E54</f>
        <v>5.0999999999999943</v>
      </c>
      <c r="F44" s="90">
        <f>246.1-F54</f>
        <v>5.0999999999999943</v>
      </c>
      <c r="G44" s="151">
        <v>5</v>
      </c>
      <c r="H44" s="90">
        <f>266.1-H54</f>
        <v>5.2000000000000455</v>
      </c>
      <c r="I44" s="88"/>
      <c r="J44" s="90">
        <v>5.7299443809708173</v>
      </c>
      <c r="K44" s="90">
        <v>5.6260706786237078</v>
      </c>
      <c r="L44" s="90">
        <v>5.5384003962294583</v>
      </c>
      <c r="M44" s="90">
        <f>234.2-M54</f>
        <v>5.3999999999999773</v>
      </c>
      <c r="N44" s="88"/>
      <c r="O44" s="90">
        <v>5.2538838612142387</v>
      </c>
      <c r="P44" s="90">
        <v>6.0840861880573369</v>
      </c>
      <c r="Q44" s="90">
        <v>6.0114248739387364</v>
      </c>
      <c r="R44" s="90">
        <v>5.9904163076018921</v>
      </c>
      <c r="S44" s="88"/>
      <c r="T44" s="90">
        <v>5.2538838612142387</v>
      </c>
      <c r="U44" s="90">
        <v>5.5174430221908386</v>
      </c>
      <c r="V44" s="90">
        <v>5.9921076521758438</v>
      </c>
      <c r="W44" s="90">
        <v>6.2544634210569763</v>
      </c>
    </row>
    <row r="45" spans="1:27" ht="12.6" customHeight="1">
      <c r="A45" s="101" t="s">
        <v>18</v>
      </c>
      <c r="B45" s="90">
        <v>7.1</v>
      </c>
      <c r="C45" s="90">
        <v>6.4436745305781038</v>
      </c>
      <c r="D45" s="88"/>
      <c r="E45" s="90">
        <v>9.6</v>
      </c>
      <c r="F45" s="90">
        <v>9.1999999999999993</v>
      </c>
      <c r="G45" s="90">
        <v>8.1999999999999993</v>
      </c>
      <c r="H45" s="90">
        <v>7.7</v>
      </c>
      <c r="I45" s="88"/>
      <c r="J45" s="90">
        <v>9.7863436625358258</v>
      </c>
      <c r="K45" s="90">
        <v>9.3889191584043417</v>
      </c>
      <c r="L45" s="90">
        <v>9.17743195424916</v>
      </c>
      <c r="M45" s="90">
        <v>9.9</v>
      </c>
      <c r="N45" s="88"/>
      <c r="O45" s="90">
        <v>15.766260613715296</v>
      </c>
      <c r="P45" s="90">
        <v>15.404009232233312</v>
      </c>
      <c r="Q45" s="90">
        <v>13.080117904051837</v>
      </c>
      <c r="R45" s="90">
        <v>10.255084269259372</v>
      </c>
      <c r="S45" s="88"/>
      <c r="T45" s="90">
        <v>17.417972305876102</v>
      </c>
      <c r="U45" s="90">
        <v>16.740337064519036</v>
      </c>
      <c r="V45" s="90">
        <v>17.692696128651328</v>
      </c>
      <c r="W45" s="90">
        <v>17.610352504243668</v>
      </c>
    </row>
    <row r="46" spans="1:27" ht="12.6" customHeight="1">
      <c r="A46" s="101" t="s">
        <v>19</v>
      </c>
      <c r="B46" s="90">
        <v>101.7</v>
      </c>
      <c r="C46" s="90">
        <v>102.33666467250016</v>
      </c>
      <c r="D46" s="88"/>
      <c r="E46" s="90">
        <v>111.7</v>
      </c>
      <c r="F46" s="90">
        <v>112.9</v>
      </c>
      <c r="G46" s="90">
        <v>109.2</v>
      </c>
      <c r="H46" s="90">
        <v>107.3</v>
      </c>
      <c r="I46" s="88"/>
      <c r="J46" s="90">
        <v>120.552041861006</v>
      </c>
      <c r="K46" s="90">
        <v>118.28020397815604</v>
      </c>
      <c r="L46" s="90">
        <v>115.16181460926128</v>
      </c>
      <c r="M46" s="90">
        <v>116</v>
      </c>
      <c r="N46" s="88"/>
      <c r="O46" s="90">
        <v>142.6587845666526</v>
      </c>
      <c r="P46" s="90">
        <v>132.6606058185248</v>
      </c>
      <c r="Q46" s="90">
        <v>128.699427199268</v>
      </c>
      <c r="R46" s="90">
        <v>123.57405120133163</v>
      </c>
      <c r="S46" s="88"/>
      <c r="T46" s="90">
        <v>154.82450682900048</v>
      </c>
      <c r="U46" s="90">
        <v>153.08134069999244</v>
      </c>
      <c r="V46" s="90">
        <v>154.33273731032151</v>
      </c>
      <c r="W46" s="90">
        <v>147.10980833923398</v>
      </c>
    </row>
    <row r="47" spans="1:27" ht="12.6" customHeight="1">
      <c r="A47" s="101" t="s">
        <v>564</v>
      </c>
      <c r="B47" s="90">
        <v>1.4</v>
      </c>
      <c r="C47" s="90">
        <v>1.1852360266425319</v>
      </c>
      <c r="D47" s="88"/>
      <c r="E47" s="90">
        <v>1.8</v>
      </c>
      <c r="F47" s="90">
        <v>1.4</v>
      </c>
      <c r="G47" s="90">
        <v>1.4</v>
      </c>
      <c r="H47" s="90">
        <v>1.4</v>
      </c>
      <c r="I47" s="88"/>
      <c r="J47" s="90">
        <v>2.2659171232406465</v>
      </c>
      <c r="K47" s="90">
        <v>2.0735157078759103</v>
      </c>
      <c r="L47" s="90">
        <v>2.6371290511932406</v>
      </c>
      <c r="M47" s="90">
        <v>2.1</v>
      </c>
      <c r="N47" s="88"/>
      <c r="O47" s="90">
        <v>4.0528346403331668</v>
      </c>
      <c r="P47" s="90">
        <v>4.0640686484904327</v>
      </c>
      <c r="Q47" s="90">
        <v>4.0570748724837635</v>
      </c>
      <c r="R47" s="90">
        <v>2.1796610220724744</v>
      </c>
      <c r="S47" s="88"/>
      <c r="T47" s="90">
        <v>4.6612106344247355</v>
      </c>
      <c r="U47" s="90">
        <v>4.419797360747487</v>
      </c>
      <c r="V47" s="90">
        <v>4.6393800260460436</v>
      </c>
      <c r="W47" s="90">
        <v>4.2795614961706052</v>
      </c>
    </row>
    <row r="48" spans="1:27" ht="12.6" customHeight="1">
      <c r="A48" s="101" t="s">
        <v>20</v>
      </c>
      <c r="B48" s="90">
        <v>225</v>
      </c>
      <c r="C48" s="90">
        <v>222.43018084429082</v>
      </c>
      <c r="D48" s="88"/>
      <c r="E48" s="90">
        <v>221.4</v>
      </c>
      <c r="F48" s="90">
        <v>226.1</v>
      </c>
      <c r="G48" s="90">
        <v>224</v>
      </c>
      <c r="H48" s="90">
        <v>226.4</v>
      </c>
      <c r="I48" s="88"/>
      <c r="J48" s="90">
        <v>230.02216581722925</v>
      </c>
      <c r="K48" s="90">
        <v>228.44303816210592</v>
      </c>
      <c r="L48" s="90">
        <v>222.73814522896029</v>
      </c>
      <c r="M48" s="90">
        <v>224.4</v>
      </c>
      <c r="N48" s="88"/>
      <c r="O48" s="90">
        <v>238.6218326896624</v>
      </c>
      <c r="P48" s="90">
        <v>234.64410609978921</v>
      </c>
      <c r="Q48" s="90">
        <v>228.13979440615438</v>
      </c>
      <c r="R48" s="90">
        <v>231.37197445802005</v>
      </c>
      <c r="S48" s="88"/>
      <c r="T48" s="90">
        <v>253.84572073089902</v>
      </c>
      <c r="U48" s="90">
        <v>239.57372852284323</v>
      </c>
      <c r="V48" s="90">
        <v>234.63055591871159</v>
      </c>
      <c r="W48" s="90">
        <v>239.84819254931469</v>
      </c>
    </row>
    <row r="49" spans="1:23" ht="12.6" customHeight="1">
      <c r="A49" s="101" t="s">
        <v>60</v>
      </c>
      <c r="B49" s="90">
        <v>6.2</v>
      </c>
      <c r="C49" s="90">
        <v>5.6766493723607931</v>
      </c>
      <c r="D49" s="88"/>
      <c r="E49" s="90">
        <v>5.9</v>
      </c>
      <c r="F49" s="90">
        <v>6.4</v>
      </c>
      <c r="G49" s="90">
        <v>6.6</v>
      </c>
      <c r="H49" s="90">
        <v>6.2</v>
      </c>
      <c r="I49" s="88"/>
      <c r="J49" s="90">
        <v>6.0335841103052914</v>
      </c>
      <c r="K49" s="90">
        <v>5.7562982044251987</v>
      </c>
      <c r="L49" s="90">
        <v>5.406518883675524</v>
      </c>
      <c r="M49" s="90">
        <v>6</v>
      </c>
      <c r="N49" s="88"/>
      <c r="O49" s="90">
        <v>8.145284305818306</v>
      </c>
      <c r="P49" s="90">
        <v>8.2279653307899103</v>
      </c>
      <c r="Q49" s="90">
        <v>8.3162583810209245</v>
      </c>
      <c r="R49" s="90">
        <v>6.6052973871477931</v>
      </c>
      <c r="S49" s="88"/>
      <c r="T49" s="90">
        <v>6.0894992582121192</v>
      </c>
      <c r="U49" s="90">
        <v>6.9855272001534718</v>
      </c>
      <c r="V49" s="90">
        <v>6.6870918696843766</v>
      </c>
      <c r="W49" s="90">
        <v>6.8790330461717843</v>
      </c>
    </row>
    <row r="50" spans="1:23" ht="12.6" customHeight="1">
      <c r="A50" s="103" t="s">
        <v>1786</v>
      </c>
      <c r="B50" s="91">
        <f>B51-B48-B47</f>
        <v>718.00000000000011</v>
      </c>
      <c r="C50" s="91">
        <f>C51-C48-C47</f>
        <v>750.77375127193238</v>
      </c>
      <c r="D50" s="88"/>
      <c r="E50" s="91">
        <f>E51-E48-E47</f>
        <v>703.50000000000011</v>
      </c>
      <c r="F50" s="91">
        <f>F51-F48-F47</f>
        <v>717.59999999999991</v>
      </c>
      <c r="G50" s="91">
        <f>G51-G48-G47</f>
        <v>715.2</v>
      </c>
      <c r="H50" s="91">
        <f>H51-H48-H47</f>
        <v>728.9</v>
      </c>
      <c r="I50" s="88"/>
      <c r="J50" s="91">
        <f>J51-J48-J47</f>
        <v>688.16600884750812</v>
      </c>
      <c r="K50" s="91">
        <f>K51-K48-K47</f>
        <v>729.59739916819603</v>
      </c>
      <c r="L50" s="91">
        <f>L51-L48-L47</f>
        <v>732.1049887345107</v>
      </c>
      <c r="M50" s="91">
        <f>954.1-M54</f>
        <v>725.3</v>
      </c>
      <c r="N50" s="88"/>
      <c r="O50" s="91">
        <v>744.90194541760013</v>
      </c>
      <c r="P50" s="91">
        <f>P51-P47-P48</f>
        <v>725.40414347074511</v>
      </c>
      <c r="Q50" s="91">
        <f>Q51-Q47-Q48</f>
        <v>704.14253876346163</v>
      </c>
      <c r="R50" s="91">
        <f>R51-R47-R48</f>
        <v>696.61437946022193</v>
      </c>
      <c r="S50" s="88"/>
      <c r="T50" s="91">
        <v>729.26962269145963</v>
      </c>
      <c r="U50" s="91">
        <v>728.37112282668068</v>
      </c>
      <c r="V50" s="91">
        <v>730.63315589172907</v>
      </c>
      <c r="W50" s="91">
        <v>765.33100550289203</v>
      </c>
    </row>
    <row r="51" spans="1:23" ht="12.6" customHeight="1">
      <c r="A51" s="103" t="s">
        <v>1787</v>
      </c>
      <c r="B51" s="91">
        <f>SUM(B37:B49)</f>
        <v>944.40000000000009</v>
      </c>
      <c r="C51" s="91">
        <f>SUM(C37:C49)</f>
        <v>974.38916814286574</v>
      </c>
      <c r="D51" s="88"/>
      <c r="E51" s="91">
        <f>SUM(E37:E49)</f>
        <v>926.7</v>
      </c>
      <c r="F51" s="91">
        <f>F55-F54</f>
        <v>945.09999999999991</v>
      </c>
      <c r="G51" s="91">
        <f>G55-G54</f>
        <v>940.6</v>
      </c>
      <c r="H51" s="91">
        <f>H55-H54</f>
        <v>956.69999999999993</v>
      </c>
      <c r="I51" s="88"/>
      <c r="J51" s="91">
        <f>SUM(J37:J49)</f>
        <v>920.45409178797809</v>
      </c>
      <c r="K51" s="91">
        <f>SUM(K37:K49)</f>
        <v>960.1139530381779</v>
      </c>
      <c r="L51" s="91">
        <f>SUM(L37:L49)</f>
        <v>957.48026301466427</v>
      </c>
      <c r="M51" s="91">
        <f>SUM(M37:M49)</f>
        <v>951.69999999999993</v>
      </c>
      <c r="N51" s="88"/>
      <c r="O51" s="91">
        <v>987.57661274759562</v>
      </c>
      <c r="P51" s="91">
        <v>964.1123182190247</v>
      </c>
      <c r="Q51" s="91">
        <v>936.33940804209976</v>
      </c>
      <c r="R51" s="91">
        <v>930.16601494031443</v>
      </c>
      <c r="S51" s="88"/>
      <c r="T51" s="91">
        <v>987.77655405678343</v>
      </c>
      <c r="U51" s="91">
        <v>972.36464871027135</v>
      </c>
      <c r="V51" s="91">
        <v>969.90309183648674</v>
      </c>
      <c r="W51" s="91">
        <v>1009.4587595483773</v>
      </c>
    </row>
    <row r="52" spans="1:23" ht="12.6" hidden="1" customHeight="1">
      <c r="A52" s="103" t="s">
        <v>91</v>
      </c>
      <c r="B52" s="152"/>
      <c r="C52" s="152"/>
      <c r="D52" s="88"/>
      <c r="E52" s="152"/>
      <c r="F52" s="152"/>
      <c r="G52" s="152"/>
      <c r="H52" s="152"/>
      <c r="I52" s="88"/>
      <c r="J52" s="152" t="s">
        <v>45</v>
      </c>
      <c r="K52" s="152"/>
      <c r="L52" s="152"/>
      <c r="M52" s="152"/>
      <c r="N52" s="88"/>
      <c r="O52" s="152" t="s">
        <v>45</v>
      </c>
      <c r="P52" s="152" t="s">
        <v>45</v>
      </c>
      <c r="Q52" s="152" t="s">
        <v>45</v>
      </c>
      <c r="R52" s="152" t="s">
        <v>45</v>
      </c>
      <c r="S52" s="88"/>
      <c r="T52" s="91">
        <v>9621.5564173256716</v>
      </c>
      <c r="U52" s="91">
        <v>9805.095971707322</v>
      </c>
      <c r="V52" s="91">
        <v>10186.721256045212</v>
      </c>
      <c r="W52" s="91">
        <v>10844.122022715463</v>
      </c>
    </row>
    <row r="53" spans="1:23" ht="12.6" customHeight="1">
      <c r="A53" s="88"/>
      <c r="B53" s="88"/>
      <c r="C53" s="88"/>
      <c r="D53" s="92"/>
      <c r="E53" s="88"/>
      <c r="F53" s="88"/>
      <c r="G53" s="88"/>
      <c r="H53" s="88"/>
      <c r="I53" s="92"/>
      <c r="J53" s="88"/>
      <c r="K53" s="88"/>
      <c r="L53" s="88"/>
      <c r="M53" s="88"/>
      <c r="N53" s="92"/>
      <c r="O53" s="92"/>
      <c r="P53" s="88"/>
      <c r="Q53" s="88"/>
      <c r="R53" s="88"/>
      <c r="S53" s="88"/>
      <c r="T53" s="92"/>
      <c r="U53" s="88"/>
      <c r="V53" s="88"/>
      <c r="W53" s="88"/>
    </row>
    <row r="54" spans="1:23" ht="12.6" customHeight="1">
      <c r="A54" s="101" t="s">
        <v>577</v>
      </c>
      <c r="B54" s="118">
        <v>274.3</v>
      </c>
      <c r="C54" s="118">
        <v>278.99648738788989</v>
      </c>
      <c r="D54" s="92"/>
      <c r="E54" s="118">
        <v>235.6</v>
      </c>
      <c r="F54" s="118">
        <v>241</v>
      </c>
      <c r="G54" s="118">
        <v>248.6</v>
      </c>
      <c r="H54" s="118">
        <v>260.89999999999998</v>
      </c>
      <c r="I54" s="92"/>
      <c r="J54" s="118">
        <v>217.1</v>
      </c>
      <c r="K54" s="118">
        <v>218.169178109</v>
      </c>
      <c r="L54" s="118">
        <v>223.65167836200001</v>
      </c>
      <c r="M54" s="118">
        <v>228.8</v>
      </c>
      <c r="N54" s="92"/>
      <c r="O54" s="118">
        <v>186.2</v>
      </c>
      <c r="P54" s="118">
        <v>193.2</v>
      </c>
      <c r="Q54" s="118">
        <v>200.3</v>
      </c>
      <c r="R54" s="118">
        <v>207.3</v>
      </c>
      <c r="S54" s="88"/>
      <c r="T54" s="127" t="s">
        <v>45</v>
      </c>
      <c r="U54" s="127" t="s">
        <v>45</v>
      </c>
      <c r="V54" s="127" t="s">
        <v>45</v>
      </c>
      <c r="W54" s="127" t="s">
        <v>45</v>
      </c>
    </row>
    <row r="55" spans="1:23" ht="12.6" customHeight="1">
      <c r="A55" s="103" t="s">
        <v>1628</v>
      </c>
      <c r="B55" s="121">
        <v>1218.4000000000001</v>
      </c>
      <c r="C55" s="121">
        <f>C51+C54</f>
        <v>1253.3856555307557</v>
      </c>
      <c r="D55" s="92"/>
      <c r="E55" s="121">
        <v>1162.4000000000001</v>
      </c>
      <c r="F55" s="121">
        <v>1186.0999999999999</v>
      </c>
      <c r="G55" s="121">
        <v>1189.2</v>
      </c>
      <c r="H55" s="121">
        <v>1217.5999999999999</v>
      </c>
      <c r="I55" s="92"/>
      <c r="J55" s="121">
        <v>1134.7</v>
      </c>
      <c r="K55" s="121">
        <v>1193.5</v>
      </c>
      <c r="L55" s="121">
        <v>1182.5999999999999</v>
      </c>
      <c r="M55" s="121">
        <v>1180.5999999999999</v>
      </c>
      <c r="N55" s="92"/>
      <c r="O55" s="121">
        <v>1173.7</v>
      </c>
      <c r="P55" s="121">
        <v>1157.3123182190247</v>
      </c>
      <c r="Q55" s="121">
        <v>1136.6394080420996</v>
      </c>
      <c r="R55" s="121">
        <v>1134.6412746076037</v>
      </c>
      <c r="S55" s="88"/>
      <c r="T55" s="128" t="s">
        <v>45</v>
      </c>
      <c r="U55" s="128" t="s">
        <v>45</v>
      </c>
      <c r="V55" s="128" t="s">
        <v>45</v>
      </c>
      <c r="W55" s="128" t="s">
        <v>45</v>
      </c>
    </row>
    <row r="56" spans="1:23" ht="12.6" customHeight="1">
      <c r="C56" s="39"/>
      <c r="D56" s="39"/>
      <c r="E56" s="39"/>
      <c r="J56" s="39"/>
    </row>
    <row r="57" spans="1:23" ht="12.6" customHeight="1">
      <c r="A57" s="77" t="s">
        <v>2274</v>
      </c>
      <c r="B57" s="88"/>
      <c r="C57" s="92"/>
      <c r="D57" s="92"/>
      <c r="E57" s="92"/>
      <c r="F57" s="88"/>
      <c r="G57" s="88"/>
      <c r="J57" s="39"/>
    </row>
    <row r="58" spans="1:23" ht="12.6" customHeight="1">
      <c r="A58" s="104" t="s">
        <v>1788</v>
      </c>
      <c r="B58" s="88"/>
      <c r="C58" s="88"/>
      <c r="D58" s="88"/>
      <c r="E58" s="88"/>
      <c r="F58" s="88"/>
      <c r="G58" s="88"/>
    </row>
    <row r="59" spans="1:23" ht="12.6" customHeight="1">
      <c r="A59" s="104" t="s">
        <v>1464</v>
      </c>
      <c r="B59" s="88"/>
      <c r="C59" s="88"/>
      <c r="D59" s="88"/>
      <c r="E59" s="88"/>
      <c r="F59" s="88"/>
      <c r="G59" s="88"/>
    </row>
    <row r="60" spans="1:23" ht="12.6" customHeight="1">
      <c r="A60" s="88"/>
      <c r="B60" s="88"/>
      <c r="C60" s="88"/>
      <c r="D60" s="88"/>
      <c r="E60" s="88"/>
      <c r="F60" s="88"/>
      <c r="G60" s="88"/>
    </row>
    <row r="61" spans="1:23" ht="12.6" customHeight="1">
      <c r="A61" s="88"/>
      <c r="B61" s="88"/>
      <c r="C61" s="88"/>
      <c r="D61" s="88"/>
      <c r="E61" s="88"/>
      <c r="F61" s="88"/>
      <c r="G61" s="88"/>
    </row>
    <row r="62" spans="1:23" ht="12.6" customHeight="1">
      <c r="V62" s="38"/>
      <c r="W62" s="38"/>
    </row>
    <row r="80" spans="19:21" ht="12.6" customHeight="1">
      <c r="S80" s="38"/>
      <c r="T80" s="38"/>
      <c r="U80" s="38"/>
    </row>
  </sheetData>
  <phoneticPr fontId="0" type="noConversion"/>
  <pageMargins left="0.75" right="0.75" top="1" bottom="1" header="0.5" footer="0.5"/>
  <pageSetup scale="74" orientation="landscape" horizontalDpi="1200" verticalDpi="1200" r:id="rId1"/>
  <headerFooter alignWithMargins="0"/>
  <ignoredErrors>
    <ignoredError sqref="J51 L5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8:P412"/>
  <sheetViews>
    <sheetView zoomScale="85" zoomScaleNormal="85" workbookViewId="0">
      <selection activeCell="G5" sqref="G5"/>
    </sheetView>
  </sheetViews>
  <sheetFormatPr defaultColWidth="8.85546875" defaultRowHeight="12.6" customHeight="1"/>
  <cols>
    <col min="1" max="1" width="14.42578125" style="9" customWidth="1"/>
    <col min="2" max="7" width="10.42578125" style="8" customWidth="1"/>
    <col min="8" max="11" width="10.42578125" style="9" customWidth="1"/>
    <col min="12" max="16384" width="8.85546875" style="9"/>
  </cols>
  <sheetData>
    <row r="8" spans="1:11" ht="12.6" customHeight="1">
      <c r="A8" s="76" t="s">
        <v>49</v>
      </c>
    </row>
    <row r="9" spans="1:11" ht="12.6" customHeight="1">
      <c r="A9" s="77" t="s">
        <v>3</v>
      </c>
    </row>
    <row r="10" spans="1:11" ht="12.6" customHeight="1">
      <c r="A10" s="156" t="s">
        <v>1629</v>
      </c>
    </row>
    <row r="11" spans="1:11" ht="12.6" customHeight="1">
      <c r="A11" s="153" t="s">
        <v>2231</v>
      </c>
      <c r="B11" s="153" t="s">
        <v>24</v>
      </c>
      <c r="C11" s="153" t="s">
        <v>566</v>
      </c>
      <c r="D11" s="153" t="s">
        <v>567</v>
      </c>
      <c r="E11" s="153" t="s">
        <v>8</v>
      </c>
      <c r="F11" s="153" t="s">
        <v>568</v>
      </c>
      <c r="G11" s="153" t="s">
        <v>569</v>
      </c>
      <c r="H11" s="153" t="s">
        <v>25</v>
      </c>
      <c r="I11" s="153" t="s">
        <v>92</v>
      </c>
      <c r="J11" s="153" t="s">
        <v>577</v>
      </c>
      <c r="K11" s="153" t="s">
        <v>22</v>
      </c>
    </row>
    <row r="12" spans="1:11" ht="12.6" customHeight="1">
      <c r="A12" s="96" t="s">
        <v>11</v>
      </c>
      <c r="B12" s="144">
        <v>0.16807334259999998</v>
      </c>
      <c r="C12" s="144">
        <v>0</v>
      </c>
      <c r="D12" s="144">
        <v>40.04025</v>
      </c>
      <c r="E12" s="144">
        <v>2.363798000865E-2</v>
      </c>
      <c r="F12" s="144">
        <v>0.34050989900000039</v>
      </c>
      <c r="G12" s="144">
        <v>0</v>
      </c>
      <c r="H12" s="144">
        <v>28.788800999999999</v>
      </c>
      <c r="I12" s="144">
        <v>0</v>
      </c>
      <c r="J12" s="202"/>
      <c r="K12" s="144">
        <v>69.361272221608658</v>
      </c>
    </row>
    <row r="13" spans="1:11" ht="12.6" customHeight="1">
      <c r="A13" s="96" t="s">
        <v>12</v>
      </c>
      <c r="B13" s="144">
        <v>6.5543745699700002</v>
      </c>
      <c r="C13" s="144">
        <v>0.44328523364373001</v>
      </c>
      <c r="D13" s="144">
        <v>6.2843929999999997</v>
      </c>
      <c r="E13" s="144">
        <v>0.21238245475202153</v>
      </c>
      <c r="F13" s="144">
        <v>24.531768028338945</v>
      </c>
      <c r="G13" s="144">
        <v>0.57836524247999999</v>
      </c>
      <c r="H13" s="144">
        <v>138.27385213416966</v>
      </c>
      <c r="I13" s="144">
        <v>0</v>
      </c>
      <c r="J13" s="203"/>
      <c r="K13" s="144">
        <v>176.87842066335438</v>
      </c>
    </row>
    <row r="14" spans="1:11" ht="12.6" customHeight="1">
      <c r="A14" s="96" t="s">
        <v>13</v>
      </c>
      <c r="B14" s="144">
        <v>30.310777289034029</v>
      </c>
      <c r="C14" s="144">
        <v>0</v>
      </c>
      <c r="D14" s="144">
        <v>3.4027569999999998</v>
      </c>
      <c r="E14" s="144">
        <v>1.8508743279282009</v>
      </c>
      <c r="F14" s="144">
        <v>13.939744766539429</v>
      </c>
      <c r="G14" s="144">
        <v>1.3299954095219999</v>
      </c>
      <c r="H14" s="144">
        <v>71.331980573115487</v>
      </c>
      <c r="I14" s="144">
        <v>0</v>
      </c>
      <c r="J14" s="203"/>
      <c r="K14" s="144">
        <v>122.16612936613915</v>
      </c>
    </row>
    <row r="15" spans="1:11" ht="12.6" customHeight="1">
      <c r="A15" s="96" t="s">
        <v>14</v>
      </c>
      <c r="B15" s="144">
        <v>0</v>
      </c>
      <c r="C15" s="144">
        <v>0.47989731923087997</v>
      </c>
      <c r="D15" s="144">
        <v>0.68032533442500009</v>
      </c>
      <c r="E15" s="144">
        <v>0</v>
      </c>
      <c r="F15" s="144">
        <v>0</v>
      </c>
      <c r="G15" s="144">
        <v>0.4748</v>
      </c>
      <c r="H15" s="144">
        <v>0.16048719140360002</v>
      </c>
      <c r="I15" s="144">
        <v>4.1635583745</v>
      </c>
      <c r="J15" s="203"/>
      <c r="K15" s="144">
        <v>5.9590682195594811</v>
      </c>
    </row>
    <row r="16" spans="1:11" ht="12.6" customHeight="1">
      <c r="A16" s="96" t="s">
        <v>15</v>
      </c>
      <c r="B16" s="144">
        <v>0.54527511681074614</v>
      </c>
      <c r="C16" s="144">
        <v>0</v>
      </c>
      <c r="D16" s="144">
        <v>0</v>
      </c>
      <c r="E16" s="144">
        <v>0.34141316200914923</v>
      </c>
      <c r="F16" s="144">
        <v>0</v>
      </c>
      <c r="G16" s="144">
        <v>0</v>
      </c>
      <c r="H16" s="144">
        <v>28.882662306545924</v>
      </c>
      <c r="I16" s="144">
        <v>1.3365711477921336</v>
      </c>
      <c r="J16" s="203"/>
      <c r="K16" s="144">
        <v>31.105921733157953</v>
      </c>
    </row>
    <row r="17" spans="1:11" ht="12.6" customHeight="1">
      <c r="A17" s="96" t="s">
        <v>16</v>
      </c>
      <c r="B17" s="144">
        <v>13.954581743604475</v>
      </c>
      <c r="C17" s="144">
        <v>0</v>
      </c>
      <c r="D17" s="144">
        <v>29.581843808206958</v>
      </c>
      <c r="E17" s="144">
        <v>0.88896692041059566</v>
      </c>
      <c r="F17" s="144">
        <v>38.268979470627762</v>
      </c>
      <c r="G17" s="144">
        <v>4.8951253087153601</v>
      </c>
      <c r="H17" s="144">
        <v>25.666854069528014</v>
      </c>
      <c r="I17" s="144">
        <v>6.2392579249947433</v>
      </c>
      <c r="J17" s="203"/>
      <c r="K17" s="144">
        <v>119.49560924608791</v>
      </c>
    </row>
    <row r="18" spans="1:11" ht="12.6" customHeight="1">
      <c r="A18" s="96" t="s">
        <v>17</v>
      </c>
      <c r="B18" s="144">
        <v>2.3960344235996001</v>
      </c>
      <c r="C18" s="144">
        <v>0</v>
      </c>
      <c r="D18" s="144">
        <v>25.248000000000001</v>
      </c>
      <c r="E18" s="144">
        <v>0.50026572715710693</v>
      </c>
      <c r="F18" s="144">
        <v>0.54334473700342001</v>
      </c>
      <c r="G18" s="144">
        <v>0</v>
      </c>
      <c r="H18" s="144">
        <v>76.775944219765137</v>
      </c>
      <c r="I18" s="144">
        <v>0</v>
      </c>
      <c r="J18" s="203"/>
      <c r="K18" s="144">
        <v>105.46358910752528</v>
      </c>
    </row>
    <row r="19" spans="1:11" ht="12.6" customHeight="1">
      <c r="A19" s="96" t="s">
        <v>571</v>
      </c>
      <c r="B19" s="144">
        <v>0</v>
      </c>
      <c r="C19" s="144">
        <v>0</v>
      </c>
      <c r="D19" s="144">
        <v>7.6014993159999988E-2</v>
      </c>
      <c r="E19" s="144">
        <v>2.6243586958039007</v>
      </c>
      <c r="F19" s="144">
        <v>0</v>
      </c>
      <c r="G19" s="144">
        <v>0</v>
      </c>
      <c r="H19" s="144">
        <v>3.1863784500966004</v>
      </c>
      <c r="I19" s="144">
        <v>0</v>
      </c>
      <c r="J19" s="203"/>
      <c r="K19" s="144">
        <f>5.8867521390605+J27</f>
        <v>284.88323952695038</v>
      </c>
    </row>
    <row r="20" spans="1:11" ht="12.6" customHeight="1">
      <c r="A20" s="96" t="s">
        <v>18</v>
      </c>
      <c r="B20" s="144">
        <v>1.8441480292976902</v>
      </c>
      <c r="C20" s="144">
        <v>0.41457385396000007</v>
      </c>
      <c r="D20" s="144">
        <v>0</v>
      </c>
      <c r="E20" s="144">
        <v>0</v>
      </c>
      <c r="F20" s="144">
        <v>0.68241734478641003</v>
      </c>
      <c r="G20" s="144">
        <v>0</v>
      </c>
      <c r="H20" s="144">
        <v>2.784119079801413</v>
      </c>
      <c r="I20" s="144">
        <v>0.7184162227325912</v>
      </c>
      <c r="J20" s="203"/>
      <c r="K20" s="144">
        <v>6.4436745305781038</v>
      </c>
    </row>
    <row r="21" spans="1:11" ht="12.6" customHeight="1">
      <c r="A21" s="96" t="s">
        <v>19</v>
      </c>
      <c r="B21" s="144">
        <v>8.5491990545800025</v>
      </c>
      <c r="C21" s="144">
        <v>0.84599999999999997</v>
      </c>
      <c r="D21" s="144">
        <v>6.7309102618191208</v>
      </c>
      <c r="E21" s="144">
        <v>8.3259837384211999E-2</v>
      </c>
      <c r="F21" s="144">
        <v>14.074691028093119</v>
      </c>
      <c r="G21" s="144">
        <v>0.92372981731000003</v>
      </c>
      <c r="H21" s="144">
        <v>70.368765999007721</v>
      </c>
      <c r="I21" s="144">
        <v>0.76010867430600004</v>
      </c>
      <c r="J21" s="203"/>
      <c r="K21" s="144">
        <v>102.33666467250016</v>
      </c>
    </row>
    <row r="22" spans="1:11" ht="12.6" customHeight="1">
      <c r="A22" s="96" t="s">
        <v>564</v>
      </c>
      <c r="B22" s="144">
        <v>0.97903602664253198</v>
      </c>
      <c r="C22" s="144">
        <v>0.20619999999999999</v>
      </c>
      <c r="D22" s="144">
        <v>0</v>
      </c>
      <c r="E22" s="144">
        <v>0</v>
      </c>
      <c r="F22" s="144">
        <v>0</v>
      </c>
      <c r="G22" s="144">
        <v>0</v>
      </c>
      <c r="H22" s="144">
        <v>0</v>
      </c>
      <c r="I22" s="144">
        <v>0</v>
      </c>
      <c r="J22" s="203"/>
      <c r="K22" s="144">
        <v>1.1852360266425319</v>
      </c>
    </row>
    <row r="23" spans="1:11" ht="12.6" customHeight="1">
      <c r="A23" s="96" t="s">
        <v>20</v>
      </c>
      <c r="B23" s="144">
        <v>8.8013218616340385</v>
      </c>
      <c r="C23" s="144">
        <v>22.726008549108553</v>
      </c>
      <c r="D23" s="144">
        <v>0.74647029901501649</v>
      </c>
      <c r="E23" s="144">
        <v>24.023402282652622</v>
      </c>
      <c r="F23" s="144">
        <v>5.9468635195661941</v>
      </c>
      <c r="G23" s="144">
        <v>1.0917108683522789</v>
      </c>
      <c r="H23" s="144">
        <v>132.42823353387882</v>
      </c>
      <c r="I23" s="144">
        <v>26.666169930083289</v>
      </c>
      <c r="J23" s="203"/>
      <c r="K23" s="144">
        <v>222.43018084429082</v>
      </c>
    </row>
    <row r="24" spans="1:11" ht="12.6" customHeight="1">
      <c r="A24" s="96" t="s">
        <v>60</v>
      </c>
      <c r="B24" s="144">
        <v>3.4803313174236994</v>
      </c>
      <c r="C24" s="144">
        <v>0</v>
      </c>
      <c r="D24" s="144">
        <v>0</v>
      </c>
      <c r="E24" s="144">
        <v>0.56195762333446442</v>
      </c>
      <c r="F24" s="144">
        <v>0.78115215843269004</v>
      </c>
      <c r="G24" s="144">
        <v>0</v>
      </c>
      <c r="H24" s="144">
        <v>2.0333351699387998E-3</v>
      </c>
      <c r="I24" s="144">
        <v>0.8511749380000001</v>
      </c>
      <c r="J24" s="203"/>
      <c r="K24" s="144">
        <v>5.6766493723607931</v>
      </c>
    </row>
    <row r="25" spans="1:11" ht="12.6" customHeight="1">
      <c r="A25" s="96" t="s">
        <v>579</v>
      </c>
      <c r="B25" s="144">
        <v>67.802794886920253</v>
      </c>
      <c r="C25" s="144">
        <v>2.1837564068346111</v>
      </c>
      <c r="D25" s="144">
        <v>112.04449439761107</v>
      </c>
      <c r="E25" s="144">
        <v>7.0871167287883026</v>
      </c>
      <c r="F25" s="144">
        <v>93.162607432821773</v>
      </c>
      <c r="G25" s="144">
        <v>8.2020157780273593</v>
      </c>
      <c r="H25" s="144">
        <v>446.22187835860348</v>
      </c>
      <c r="I25" s="144">
        <v>14.069087282325469</v>
      </c>
      <c r="J25" s="203"/>
      <c r="K25" s="144">
        <v>750.77375127193216</v>
      </c>
    </row>
    <row r="26" spans="1:11" ht="12.6" customHeight="1">
      <c r="A26" s="154" t="s">
        <v>1313</v>
      </c>
      <c r="B26" s="155">
        <f>SUM(B13:B21)+B24</f>
        <v>67.634721544320257</v>
      </c>
      <c r="C26" s="155">
        <f t="shared" ref="C26:K26" si="0">SUM(C13:C21)+C24</f>
        <v>2.1837564068346103</v>
      </c>
      <c r="D26" s="155">
        <f t="shared" si="0"/>
        <v>72.004244397611075</v>
      </c>
      <c r="E26" s="155">
        <f t="shared" si="0"/>
        <v>7.0634787487796515</v>
      </c>
      <c r="F26" s="155">
        <f t="shared" si="0"/>
        <v>92.822097533821776</v>
      </c>
      <c r="G26" s="155">
        <f t="shared" si="0"/>
        <v>8.202015778027361</v>
      </c>
      <c r="H26" s="155">
        <f t="shared" si="0"/>
        <v>417.4330773586035</v>
      </c>
      <c r="I26" s="155">
        <f t="shared" si="0"/>
        <v>14.069087282325468</v>
      </c>
      <c r="J26" s="204"/>
      <c r="K26" s="155">
        <f t="shared" si="0"/>
        <v>960.40896643821361</v>
      </c>
    </row>
    <row r="27" spans="1:11" ht="12.6" customHeight="1">
      <c r="A27" s="154" t="s">
        <v>44</v>
      </c>
      <c r="B27" s="155">
        <f>SUM(B12:B24)</f>
        <v>77.583152775196822</v>
      </c>
      <c r="C27" s="155">
        <f t="shared" ref="C27:K27" si="1">SUM(C12:C24)</f>
        <v>25.115964955943163</v>
      </c>
      <c r="D27" s="155">
        <f t="shared" si="1"/>
        <v>112.79096469662611</v>
      </c>
      <c r="E27" s="155">
        <f t="shared" si="1"/>
        <v>31.110519011440925</v>
      </c>
      <c r="F27" s="155">
        <f t="shared" si="1"/>
        <v>99.10947095238798</v>
      </c>
      <c r="G27" s="155">
        <f t="shared" si="1"/>
        <v>9.2937266463796391</v>
      </c>
      <c r="H27" s="155">
        <f t="shared" si="1"/>
        <v>578.6501118924823</v>
      </c>
      <c r="I27" s="155">
        <f t="shared" si="1"/>
        <v>40.735257212408754</v>
      </c>
      <c r="J27" s="155">
        <v>278.99648738788989</v>
      </c>
      <c r="K27" s="155">
        <f t="shared" si="1"/>
        <v>1253.3856555307557</v>
      </c>
    </row>
    <row r="28" spans="1:11" ht="12.6" customHeight="1">
      <c r="A28" s="156"/>
      <c r="B28" s="115"/>
      <c r="C28" s="115"/>
      <c r="D28" s="115"/>
      <c r="E28" s="115"/>
      <c r="F28" s="115"/>
      <c r="G28" s="115"/>
      <c r="H28" s="88"/>
      <c r="I28" s="88"/>
      <c r="J28" s="88"/>
      <c r="K28" s="88"/>
    </row>
    <row r="29" spans="1:11" ht="12.6" customHeight="1">
      <c r="A29" s="153" t="s">
        <v>2183</v>
      </c>
      <c r="B29" s="153" t="s">
        <v>24</v>
      </c>
      <c r="C29" s="153" t="s">
        <v>566</v>
      </c>
      <c r="D29" s="153" t="s">
        <v>567</v>
      </c>
      <c r="E29" s="153" t="s">
        <v>8</v>
      </c>
      <c r="F29" s="153" t="s">
        <v>568</v>
      </c>
      <c r="G29" s="153" t="s">
        <v>569</v>
      </c>
      <c r="H29" s="153" t="s">
        <v>25</v>
      </c>
      <c r="I29" s="153" t="s">
        <v>92</v>
      </c>
      <c r="J29" s="153" t="s">
        <v>577</v>
      </c>
      <c r="K29" s="153" t="s">
        <v>22</v>
      </c>
    </row>
    <row r="30" spans="1:11" ht="12.6" customHeight="1">
      <c r="A30" s="96" t="s">
        <v>11</v>
      </c>
      <c r="B30" s="144">
        <v>0.2</v>
      </c>
      <c r="C30" s="144">
        <v>0</v>
      </c>
      <c r="D30" s="144">
        <v>40</v>
      </c>
      <c r="E30" s="144">
        <v>0</v>
      </c>
      <c r="F30" s="144">
        <v>0.3</v>
      </c>
      <c r="G30" s="144">
        <v>0</v>
      </c>
      <c r="H30" s="144">
        <v>28.9</v>
      </c>
      <c r="I30" s="144">
        <v>0</v>
      </c>
      <c r="J30" s="202"/>
      <c r="K30" s="144">
        <v>69.5</v>
      </c>
    </row>
    <row r="31" spans="1:11" ht="12.6" customHeight="1">
      <c r="A31" s="96" t="s">
        <v>12</v>
      </c>
      <c r="B31" s="144">
        <v>6.1</v>
      </c>
      <c r="C31" s="144">
        <v>0.4</v>
      </c>
      <c r="D31" s="144">
        <v>7.8</v>
      </c>
      <c r="E31" s="144">
        <v>0.2</v>
      </c>
      <c r="F31" s="144">
        <v>22.3</v>
      </c>
      <c r="G31" s="144">
        <v>0.7</v>
      </c>
      <c r="H31" s="144">
        <v>139.4</v>
      </c>
      <c r="I31" s="144">
        <v>0</v>
      </c>
      <c r="J31" s="203"/>
      <c r="K31" s="144">
        <v>177</v>
      </c>
    </row>
    <row r="32" spans="1:11" ht="12.6" customHeight="1">
      <c r="A32" s="96" t="s">
        <v>13</v>
      </c>
      <c r="B32" s="144">
        <v>27.2</v>
      </c>
      <c r="C32" s="144">
        <v>0</v>
      </c>
      <c r="D32" s="144">
        <v>3.4</v>
      </c>
      <c r="E32" s="144">
        <v>1.1000000000000001</v>
      </c>
      <c r="F32" s="144">
        <v>14</v>
      </c>
      <c r="G32" s="144">
        <v>1.1000000000000001</v>
      </c>
      <c r="H32" s="144">
        <v>40.9</v>
      </c>
      <c r="I32" s="144">
        <v>0</v>
      </c>
      <c r="J32" s="203"/>
      <c r="K32" s="144">
        <v>87.8</v>
      </c>
    </row>
    <row r="33" spans="1:11" ht="12.6" customHeight="1">
      <c r="A33" s="96" t="s">
        <v>14</v>
      </c>
      <c r="B33" s="144">
        <v>0.1</v>
      </c>
      <c r="C33" s="144">
        <v>0.5</v>
      </c>
      <c r="D33" s="144">
        <v>0.7</v>
      </c>
      <c r="E33" s="144">
        <v>0</v>
      </c>
      <c r="F33" s="144">
        <v>0</v>
      </c>
      <c r="G33" s="144">
        <v>0.5</v>
      </c>
      <c r="H33" s="144">
        <v>0.2</v>
      </c>
      <c r="I33" s="144">
        <v>4.2</v>
      </c>
      <c r="J33" s="203"/>
      <c r="K33" s="144">
        <v>6</v>
      </c>
    </row>
    <row r="34" spans="1:11" ht="12.6" customHeight="1">
      <c r="A34" s="96" t="s">
        <v>15</v>
      </c>
      <c r="B34" s="144">
        <v>0.6</v>
      </c>
      <c r="C34" s="144">
        <v>0</v>
      </c>
      <c r="D34" s="144">
        <v>0</v>
      </c>
      <c r="E34" s="144">
        <v>0.4</v>
      </c>
      <c r="F34" s="144">
        <v>0</v>
      </c>
      <c r="G34" s="144">
        <v>0</v>
      </c>
      <c r="H34" s="144">
        <v>30.2</v>
      </c>
      <c r="I34" s="144">
        <v>1.8</v>
      </c>
      <c r="J34" s="203"/>
      <c r="K34" s="144">
        <v>33</v>
      </c>
    </row>
    <row r="35" spans="1:11" ht="12.6" customHeight="1">
      <c r="A35" s="96" t="s">
        <v>16</v>
      </c>
      <c r="B35" s="144">
        <v>13.7</v>
      </c>
      <c r="C35" s="144">
        <v>0</v>
      </c>
      <c r="D35" s="144">
        <v>29.7</v>
      </c>
      <c r="E35" s="144">
        <v>0.9</v>
      </c>
      <c r="F35" s="144">
        <v>37.1</v>
      </c>
      <c r="G35" s="144">
        <v>4.2</v>
      </c>
      <c r="H35" s="144">
        <v>26.2</v>
      </c>
      <c r="I35" s="144">
        <v>6.3</v>
      </c>
      <c r="J35" s="203"/>
      <c r="K35" s="144">
        <v>118.10000000000001</v>
      </c>
    </row>
    <row r="36" spans="1:11" ht="12.6" customHeight="1">
      <c r="A36" s="96" t="s">
        <v>17</v>
      </c>
      <c r="B36" s="144">
        <v>2.5</v>
      </c>
      <c r="C36" s="144">
        <v>0</v>
      </c>
      <c r="D36" s="144">
        <v>25.3</v>
      </c>
      <c r="E36" s="144">
        <v>0.5</v>
      </c>
      <c r="F36" s="144">
        <v>0.6</v>
      </c>
      <c r="G36" s="144">
        <v>0</v>
      </c>
      <c r="H36" s="144">
        <v>76.900000000000006</v>
      </c>
      <c r="I36" s="144">
        <v>0</v>
      </c>
      <c r="J36" s="203"/>
      <c r="K36" s="144">
        <v>105.8</v>
      </c>
    </row>
    <row r="37" spans="1:11" ht="12.6" customHeight="1">
      <c r="A37" s="96" t="s">
        <v>571</v>
      </c>
      <c r="B37" s="144">
        <v>0</v>
      </c>
      <c r="C37" s="144">
        <v>0</v>
      </c>
      <c r="D37" s="144">
        <v>0.1</v>
      </c>
      <c r="E37" s="144">
        <v>2.7</v>
      </c>
      <c r="F37" s="144">
        <v>0</v>
      </c>
      <c r="G37" s="144">
        <v>0</v>
      </c>
      <c r="H37" s="144">
        <v>3.2</v>
      </c>
      <c r="I37" s="144">
        <v>0</v>
      </c>
      <c r="J37" s="203"/>
      <c r="K37" s="144">
        <v>280.2</v>
      </c>
    </row>
    <row r="38" spans="1:11" ht="12.6" customHeight="1">
      <c r="A38" s="96" t="s">
        <v>18</v>
      </c>
      <c r="B38" s="144">
        <v>1.5</v>
      </c>
      <c r="C38" s="144">
        <v>0.7</v>
      </c>
      <c r="D38" s="144">
        <v>0</v>
      </c>
      <c r="E38" s="144">
        <v>0</v>
      </c>
      <c r="F38" s="144">
        <v>0.8</v>
      </c>
      <c r="G38" s="144">
        <v>0</v>
      </c>
      <c r="H38" s="144">
        <v>3.3</v>
      </c>
      <c r="I38" s="144">
        <v>0.8</v>
      </c>
      <c r="J38" s="203"/>
      <c r="K38" s="144">
        <v>7.1</v>
      </c>
    </row>
    <row r="39" spans="1:11" ht="12.6" customHeight="1">
      <c r="A39" s="96" t="s">
        <v>19</v>
      </c>
      <c r="B39" s="144">
        <v>8.5</v>
      </c>
      <c r="C39" s="144">
        <v>0.9</v>
      </c>
      <c r="D39" s="144">
        <v>7.4</v>
      </c>
      <c r="E39" s="144">
        <v>0.1</v>
      </c>
      <c r="F39" s="144">
        <v>11.2</v>
      </c>
      <c r="G39" s="144">
        <v>1.2</v>
      </c>
      <c r="H39" s="144">
        <v>71.5</v>
      </c>
      <c r="I39" s="144">
        <v>0.8</v>
      </c>
      <c r="J39" s="203"/>
      <c r="K39" s="144">
        <v>101.7</v>
      </c>
    </row>
    <row r="40" spans="1:11" ht="12.6" customHeight="1">
      <c r="A40" s="96" t="s">
        <v>564</v>
      </c>
      <c r="B40" s="144">
        <v>1</v>
      </c>
      <c r="C40" s="144">
        <v>0.4</v>
      </c>
      <c r="D40" s="144">
        <v>0</v>
      </c>
      <c r="E40" s="144">
        <v>0</v>
      </c>
      <c r="F40" s="144">
        <v>0</v>
      </c>
      <c r="G40" s="144">
        <v>0</v>
      </c>
      <c r="H40" s="144">
        <v>0</v>
      </c>
      <c r="I40" s="144">
        <v>0</v>
      </c>
      <c r="J40" s="203"/>
      <c r="K40" s="144">
        <v>1.4</v>
      </c>
    </row>
    <row r="41" spans="1:11" ht="12.6" customHeight="1">
      <c r="A41" s="96" t="s">
        <v>20</v>
      </c>
      <c r="B41" s="144">
        <v>9.8000000000000007</v>
      </c>
      <c r="C41" s="144">
        <v>22.6</v>
      </c>
      <c r="D41" s="144">
        <v>0.3</v>
      </c>
      <c r="E41" s="144">
        <v>23.5</v>
      </c>
      <c r="F41" s="144">
        <v>6</v>
      </c>
      <c r="G41" s="144">
        <v>0.8</v>
      </c>
      <c r="H41" s="144">
        <v>135.4</v>
      </c>
      <c r="I41" s="144">
        <v>26.6</v>
      </c>
      <c r="J41" s="203"/>
      <c r="K41" s="144">
        <v>225.00000000000003</v>
      </c>
    </row>
    <row r="42" spans="1:11" ht="12.6" customHeight="1">
      <c r="A42" s="96" t="s">
        <v>60</v>
      </c>
      <c r="B42" s="144">
        <v>3.9</v>
      </c>
      <c r="C42" s="144">
        <v>0</v>
      </c>
      <c r="D42" s="144">
        <v>0</v>
      </c>
      <c r="E42" s="144">
        <v>0.6</v>
      </c>
      <c r="F42" s="144">
        <v>0.9</v>
      </c>
      <c r="G42" s="144">
        <v>0</v>
      </c>
      <c r="H42" s="144">
        <v>0</v>
      </c>
      <c r="I42" s="144">
        <v>0.9</v>
      </c>
      <c r="J42" s="203"/>
      <c r="K42" s="144">
        <v>6.2</v>
      </c>
    </row>
    <row r="43" spans="1:11" ht="12.6" customHeight="1">
      <c r="A43" s="96" t="s">
        <v>579</v>
      </c>
      <c r="B43" s="144">
        <v>64.2</v>
      </c>
      <c r="C43" s="144">
        <v>2.5</v>
      </c>
      <c r="D43" s="144">
        <v>114.4</v>
      </c>
      <c r="E43" s="144">
        <v>6.5</v>
      </c>
      <c r="F43" s="144">
        <v>87.2</v>
      </c>
      <c r="G43" s="144">
        <v>7.6</v>
      </c>
      <c r="H43" s="144">
        <v>420.7</v>
      </c>
      <c r="I43" s="144">
        <v>14.6</v>
      </c>
      <c r="J43" s="203"/>
      <c r="K43" s="144">
        <v>717.69999999999993</v>
      </c>
    </row>
    <row r="44" spans="1:11" ht="12.6" customHeight="1">
      <c r="A44" s="154" t="s">
        <v>1313</v>
      </c>
      <c r="B44" s="155">
        <v>64.2</v>
      </c>
      <c r="C44" s="155">
        <v>2.5</v>
      </c>
      <c r="D44" s="155">
        <f t="shared" ref="D44:I44" si="2">D45-D40-D41</f>
        <v>114.39999999999999</v>
      </c>
      <c r="E44" s="155">
        <v>6.5</v>
      </c>
      <c r="F44" s="155">
        <f t="shared" si="2"/>
        <v>87.2</v>
      </c>
      <c r="G44" s="155">
        <f t="shared" si="2"/>
        <v>7.6000000000000005</v>
      </c>
      <c r="H44" s="155">
        <f t="shared" si="2"/>
        <v>420.70000000000005</v>
      </c>
      <c r="I44" s="155">
        <f t="shared" si="2"/>
        <v>14.600000000000001</v>
      </c>
      <c r="J44" s="204"/>
      <c r="K44" s="155">
        <f>K45-K40-K41</f>
        <v>992</v>
      </c>
    </row>
    <row r="45" spans="1:11" ht="12.6" customHeight="1">
      <c r="A45" s="154" t="s">
        <v>44</v>
      </c>
      <c r="B45" s="155">
        <v>75</v>
      </c>
      <c r="C45" s="155">
        <v>25.5</v>
      </c>
      <c r="D45" s="155">
        <f t="shared" ref="D45:H45" si="3">SUM(D30:D42)</f>
        <v>114.69999999999999</v>
      </c>
      <c r="E45" s="155">
        <v>29.9</v>
      </c>
      <c r="F45" s="155">
        <f t="shared" si="3"/>
        <v>93.2</v>
      </c>
      <c r="G45" s="155">
        <v>8.4</v>
      </c>
      <c r="H45" s="155">
        <f t="shared" si="3"/>
        <v>556.1</v>
      </c>
      <c r="I45" s="155">
        <v>41.2</v>
      </c>
      <c r="J45" s="155">
        <v>274.3</v>
      </c>
      <c r="K45" s="155">
        <v>1218.4000000000001</v>
      </c>
    </row>
    <row r="46" spans="1:11" ht="12.6" customHeight="1">
      <c r="A46" s="156"/>
      <c r="B46" s="115"/>
      <c r="C46" s="115"/>
      <c r="D46" s="115"/>
      <c r="E46" s="115"/>
      <c r="F46" s="115"/>
      <c r="G46" s="115"/>
      <c r="H46" s="88"/>
      <c r="I46" s="88"/>
      <c r="J46" s="88"/>
      <c r="K46" s="88"/>
    </row>
    <row r="47" spans="1:11" ht="12.6" customHeight="1">
      <c r="A47" s="153" t="s">
        <v>2068</v>
      </c>
      <c r="B47" s="153" t="s">
        <v>24</v>
      </c>
      <c r="C47" s="153" t="s">
        <v>566</v>
      </c>
      <c r="D47" s="153" t="s">
        <v>567</v>
      </c>
      <c r="E47" s="153" t="s">
        <v>8</v>
      </c>
      <c r="F47" s="153" t="s">
        <v>568</v>
      </c>
      <c r="G47" s="153" t="s">
        <v>569</v>
      </c>
      <c r="H47" s="153" t="s">
        <v>25</v>
      </c>
      <c r="I47" s="153" t="s">
        <v>92</v>
      </c>
      <c r="J47" s="153" t="s">
        <v>577</v>
      </c>
      <c r="K47" s="153" t="s">
        <v>22</v>
      </c>
    </row>
    <row r="48" spans="1:11" ht="12.6" customHeight="1">
      <c r="A48" s="96" t="s">
        <v>11</v>
      </c>
      <c r="B48" s="144">
        <v>0.2</v>
      </c>
      <c r="C48" s="144">
        <v>0</v>
      </c>
      <c r="D48" s="144">
        <v>32</v>
      </c>
      <c r="E48" s="144">
        <v>0</v>
      </c>
      <c r="F48" s="144">
        <v>0.3</v>
      </c>
      <c r="G48" s="144">
        <v>0</v>
      </c>
      <c r="H48" s="144">
        <v>24.5</v>
      </c>
      <c r="I48" s="144">
        <v>0</v>
      </c>
      <c r="J48" s="202"/>
      <c r="K48" s="144">
        <v>57.1</v>
      </c>
    </row>
    <row r="49" spans="1:11" ht="12.6" customHeight="1">
      <c r="A49" s="96" t="s">
        <v>12</v>
      </c>
      <c r="B49" s="144">
        <v>6.7</v>
      </c>
      <c r="C49" s="144">
        <v>1</v>
      </c>
      <c r="D49" s="144">
        <v>7.8</v>
      </c>
      <c r="E49" s="144">
        <v>0.2</v>
      </c>
      <c r="F49" s="144">
        <v>22.7</v>
      </c>
      <c r="G49" s="144">
        <v>0.4</v>
      </c>
      <c r="H49" s="144">
        <v>146.30000000000001</v>
      </c>
      <c r="I49" s="144">
        <v>0</v>
      </c>
      <c r="J49" s="203"/>
      <c r="K49" s="144">
        <v>185.2</v>
      </c>
    </row>
    <row r="50" spans="1:11" ht="12.6" customHeight="1">
      <c r="A50" s="96" t="s">
        <v>13</v>
      </c>
      <c r="B50" s="144">
        <v>27.4</v>
      </c>
      <c r="C50" s="144">
        <v>0</v>
      </c>
      <c r="D50" s="144">
        <v>3.4</v>
      </c>
      <c r="E50" s="144">
        <v>1.2</v>
      </c>
      <c r="F50" s="144">
        <v>14</v>
      </c>
      <c r="G50" s="144">
        <v>1.3</v>
      </c>
      <c r="H50" s="144">
        <v>41.3</v>
      </c>
      <c r="I50" s="144">
        <v>0</v>
      </c>
      <c r="J50" s="203"/>
      <c r="K50" s="144">
        <v>88.6</v>
      </c>
    </row>
    <row r="51" spans="1:11" ht="12.6" customHeight="1">
      <c r="A51" s="96" t="s">
        <v>14</v>
      </c>
      <c r="B51" s="144">
        <v>0.1</v>
      </c>
      <c r="C51" s="144">
        <v>0.5</v>
      </c>
      <c r="D51" s="144">
        <v>0.7</v>
      </c>
      <c r="E51" s="144">
        <v>0</v>
      </c>
      <c r="F51" s="144">
        <v>0</v>
      </c>
      <c r="G51" s="144">
        <v>0.5</v>
      </c>
      <c r="H51" s="144">
        <v>0.2</v>
      </c>
      <c r="I51" s="144">
        <v>4.2</v>
      </c>
      <c r="J51" s="203"/>
      <c r="K51" s="144">
        <v>6</v>
      </c>
    </row>
    <row r="52" spans="1:11" ht="12.6" customHeight="1">
      <c r="A52" s="96" t="s">
        <v>15</v>
      </c>
      <c r="B52" s="144">
        <v>0.3</v>
      </c>
      <c r="C52" s="144">
        <v>0</v>
      </c>
      <c r="D52" s="144">
        <v>0</v>
      </c>
      <c r="E52" s="144">
        <v>0.1</v>
      </c>
      <c r="F52" s="144">
        <v>0</v>
      </c>
      <c r="G52" s="144">
        <v>0</v>
      </c>
      <c r="H52" s="144">
        <v>30.7</v>
      </c>
      <c r="I52" s="144">
        <v>1.8</v>
      </c>
      <c r="J52" s="203"/>
      <c r="K52" s="144">
        <v>32.9</v>
      </c>
    </row>
    <row r="53" spans="1:11" ht="12.6" customHeight="1">
      <c r="A53" s="96" t="s">
        <v>16</v>
      </c>
      <c r="B53" s="144">
        <v>13.8</v>
      </c>
      <c r="C53" s="144">
        <v>0</v>
      </c>
      <c r="D53" s="144">
        <v>30.5</v>
      </c>
      <c r="E53" s="144">
        <v>0.9</v>
      </c>
      <c r="F53" s="144">
        <v>38.6</v>
      </c>
      <c r="G53" s="144">
        <v>4.5</v>
      </c>
      <c r="H53" s="144">
        <v>31.3</v>
      </c>
      <c r="I53" s="144">
        <v>6.3</v>
      </c>
      <c r="J53" s="203"/>
      <c r="K53" s="144">
        <v>126</v>
      </c>
    </row>
    <row r="54" spans="1:11" ht="12.6" customHeight="1">
      <c r="A54" s="96" t="s">
        <v>17</v>
      </c>
      <c r="B54" s="144">
        <v>2.9</v>
      </c>
      <c r="C54" s="144">
        <v>0</v>
      </c>
      <c r="D54" s="144">
        <v>25.3</v>
      </c>
      <c r="E54" s="144">
        <v>0.5</v>
      </c>
      <c r="F54" s="144">
        <v>0.6</v>
      </c>
      <c r="G54" s="144">
        <v>0</v>
      </c>
      <c r="H54" s="144">
        <v>77.599999999999994</v>
      </c>
      <c r="I54" s="144">
        <v>0</v>
      </c>
      <c r="J54" s="203"/>
      <c r="K54" s="144">
        <v>106.9</v>
      </c>
    </row>
    <row r="55" spans="1:11" ht="12.6" customHeight="1">
      <c r="A55" s="96" t="s">
        <v>571</v>
      </c>
      <c r="B55" s="144">
        <v>0</v>
      </c>
      <c r="C55" s="144">
        <v>0</v>
      </c>
      <c r="D55" s="144">
        <v>0.1</v>
      </c>
      <c r="E55" s="144">
        <v>2</v>
      </c>
      <c r="F55" s="144">
        <v>0</v>
      </c>
      <c r="G55" s="144">
        <v>0</v>
      </c>
      <c r="H55" s="144">
        <v>3.2</v>
      </c>
      <c r="I55" s="144">
        <v>0</v>
      </c>
      <c r="J55" s="203"/>
      <c r="K55" s="144">
        <f>SUM(B55:I55)</f>
        <v>5.3000000000000007</v>
      </c>
    </row>
    <row r="56" spans="1:11" ht="12.6" customHeight="1">
      <c r="A56" s="96" t="s">
        <v>18</v>
      </c>
      <c r="B56" s="144">
        <v>1.6</v>
      </c>
      <c r="C56" s="144">
        <v>0.7</v>
      </c>
      <c r="D56" s="144">
        <v>0</v>
      </c>
      <c r="E56" s="144">
        <v>0</v>
      </c>
      <c r="F56" s="144">
        <v>0.8</v>
      </c>
      <c r="G56" s="144">
        <v>0</v>
      </c>
      <c r="H56" s="144">
        <v>3.7</v>
      </c>
      <c r="I56" s="144">
        <v>0.8</v>
      </c>
      <c r="J56" s="203"/>
      <c r="K56" s="144">
        <v>7.7</v>
      </c>
    </row>
    <row r="57" spans="1:11" ht="12.6" customHeight="1">
      <c r="A57" s="96" t="s">
        <v>19</v>
      </c>
      <c r="B57" s="144">
        <v>9.4</v>
      </c>
      <c r="C57" s="144">
        <v>0.9</v>
      </c>
      <c r="D57" s="144">
        <v>7.9</v>
      </c>
      <c r="E57" s="144">
        <v>0.1</v>
      </c>
      <c r="F57" s="144">
        <v>12.5</v>
      </c>
      <c r="G57" s="144">
        <v>1.4</v>
      </c>
      <c r="H57" s="144">
        <v>74.400000000000006</v>
      </c>
      <c r="I57" s="144">
        <v>0.8</v>
      </c>
      <c r="J57" s="203"/>
      <c r="K57" s="144">
        <v>107.3</v>
      </c>
    </row>
    <row r="58" spans="1:11" ht="12.6" customHeight="1">
      <c r="A58" s="96" t="s">
        <v>564</v>
      </c>
      <c r="B58" s="144">
        <v>1</v>
      </c>
      <c r="C58" s="144">
        <v>0.4</v>
      </c>
      <c r="D58" s="144">
        <v>0</v>
      </c>
      <c r="E58" s="144">
        <v>0</v>
      </c>
      <c r="F58" s="144">
        <v>0</v>
      </c>
      <c r="G58" s="144">
        <v>0</v>
      </c>
      <c r="H58" s="144">
        <v>0</v>
      </c>
      <c r="I58" s="144">
        <v>0</v>
      </c>
      <c r="J58" s="203"/>
      <c r="K58" s="144">
        <v>1.4</v>
      </c>
    </row>
    <row r="59" spans="1:11" ht="12.6" customHeight="1">
      <c r="A59" s="96" t="s">
        <v>20</v>
      </c>
      <c r="B59" s="144">
        <v>9.5</v>
      </c>
      <c r="C59" s="144">
        <v>22.2</v>
      </c>
      <c r="D59" s="144">
        <v>0.4</v>
      </c>
      <c r="E59" s="144">
        <v>22.7</v>
      </c>
      <c r="F59" s="144">
        <v>6.8</v>
      </c>
      <c r="G59" s="144">
        <v>0.8</v>
      </c>
      <c r="H59" s="144">
        <v>137.19999999999999</v>
      </c>
      <c r="I59" s="144">
        <v>26.8</v>
      </c>
      <c r="J59" s="203"/>
      <c r="K59" s="144">
        <v>226.4</v>
      </c>
    </row>
    <row r="60" spans="1:11" ht="12.6" customHeight="1">
      <c r="A60" s="96" t="s">
        <v>60</v>
      </c>
      <c r="B60" s="144">
        <v>3.8</v>
      </c>
      <c r="C60" s="144">
        <v>0</v>
      </c>
      <c r="D60" s="144">
        <v>0</v>
      </c>
      <c r="E60" s="144">
        <v>0.6</v>
      </c>
      <c r="F60" s="144">
        <v>1</v>
      </c>
      <c r="G60" s="144">
        <v>0</v>
      </c>
      <c r="H60" s="144">
        <v>0</v>
      </c>
      <c r="I60" s="144">
        <v>0.9</v>
      </c>
      <c r="J60" s="203"/>
      <c r="K60" s="144">
        <v>6.2</v>
      </c>
    </row>
    <row r="61" spans="1:11" ht="12.6" customHeight="1">
      <c r="A61" s="96" t="s">
        <v>579</v>
      </c>
      <c r="B61" s="144">
        <v>66.3</v>
      </c>
      <c r="C61" s="144">
        <v>3.1</v>
      </c>
      <c r="D61" s="144">
        <v>107.7</v>
      </c>
      <c r="E61" s="144">
        <v>5.7</v>
      </c>
      <c r="F61" s="144">
        <v>90.4</v>
      </c>
      <c r="G61" s="144">
        <v>8.1</v>
      </c>
      <c r="H61" s="144">
        <v>432.9</v>
      </c>
      <c r="I61" s="144">
        <v>14.8</v>
      </c>
      <c r="J61" s="203"/>
      <c r="K61" s="144">
        <v>729</v>
      </c>
    </row>
    <row r="62" spans="1:11" ht="12.6" customHeight="1">
      <c r="A62" s="154" t="s">
        <v>1313</v>
      </c>
      <c r="B62" s="155">
        <v>66.3</v>
      </c>
      <c r="C62" s="155">
        <v>3.1</v>
      </c>
      <c r="D62" s="155">
        <v>107.7</v>
      </c>
      <c r="E62" s="155">
        <v>5.7</v>
      </c>
      <c r="F62" s="155">
        <v>90.4</v>
      </c>
      <c r="G62" s="155">
        <v>8.1</v>
      </c>
      <c r="H62" s="155">
        <v>432.9</v>
      </c>
      <c r="I62" s="155">
        <v>14.8</v>
      </c>
      <c r="J62" s="204"/>
      <c r="K62" s="155">
        <f>K63-K59-K58</f>
        <v>989.8</v>
      </c>
    </row>
    <row r="63" spans="1:11" ht="12.6" customHeight="1">
      <c r="A63" s="154" t="s">
        <v>44</v>
      </c>
      <c r="B63" s="155">
        <v>76.7</v>
      </c>
      <c r="C63" s="155">
        <v>25.7</v>
      </c>
      <c r="D63" s="155">
        <v>108.1</v>
      </c>
      <c r="E63" s="155">
        <v>28.4</v>
      </c>
      <c r="F63" s="155">
        <v>97.2</v>
      </c>
      <c r="G63" s="155">
        <v>8.9</v>
      </c>
      <c r="H63" s="155">
        <v>570.1</v>
      </c>
      <c r="I63" s="155">
        <v>41.6</v>
      </c>
      <c r="J63" s="155">
        <v>260.89999999999998</v>
      </c>
      <c r="K63" s="155">
        <f>SUM(B63:J63)</f>
        <v>1217.5999999999999</v>
      </c>
    </row>
    <row r="64" spans="1:11" ht="12.6" customHeight="1">
      <c r="A64" s="156"/>
      <c r="B64" s="115"/>
      <c r="C64" s="115"/>
      <c r="D64" s="115"/>
      <c r="E64" s="115"/>
      <c r="F64" s="115"/>
      <c r="G64" s="115"/>
      <c r="H64" s="88"/>
      <c r="I64" s="88"/>
      <c r="J64" s="88"/>
      <c r="K64" s="88"/>
    </row>
    <row r="65" spans="1:12" ht="12.6" customHeight="1">
      <c r="A65" s="156"/>
      <c r="B65" s="115"/>
      <c r="C65" s="115"/>
      <c r="D65" s="115"/>
      <c r="E65" s="115"/>
      <c r="F65" s="115"/>
      <c r="G65" s="115"/>
      <c r="H65" s="88"/>
      <c r="I65" s="88"/>
      <c r="J65" s="88"/>
      <c r="K65" s="88"/>
    </row>
    <row r="66" spans="1:12" ht="12.6" customHeight="1">
      <c r="A66" s="153" t="s">
        <v>2019</v>
      </c>
      <c r="B66" s="153" t="s">
        <v>24</v>
      </c>
      <c r="C66" s="153" t="s">
        <v>566</v>
      </c>
      <c r="D66" s="153" t="s">
        <v>567</v>
      </c>
      <c r="E66" s="153" t="s">
        <v>8</v>
      </c>
      <c r="F66" s="153" t="s">
        <v>568</v>
      </c>
      <c r="G66" s="153" t="s">
        <v>569</v>
      </c>
      <c r="H66" s="153" t="s">
        <v>25</v>
      </c>
      <c r="I66" s="153" t="s">
        <v>92</v>
      </c>
      <c r="J66" s="153" t="s">
        <v>577</v>
      </c>
      <c r="K66" s="153" t="s">
        <v>22</v>
      </c>
    </row>
    <row r="67" spans="1:12" ht="12.6" customHeight="1">
      <c r="A67" s="96" t="s">
        <v>11</v>
      </c>
      <c r="B67" s="144">
        <v>0.3</v>
      </c>
      <c r="C67" s="144">
        <v>0</v>
      </c>
      <c r="D67" s="144">
        <v>32.1</v>
      </c>
      <c r="E67" s="144">
        <v>0</v>
      </c>
      <c r="F67" s="144">
        <v>0.4</v>
      </c>
      <c r="G67" s="144">
        <v>0</v>
      </c>
      <c r="H67" s="144">
        <v>24.5</v>
      </c>
      <c r="I67" s="144">
        <v>0</v>
      </c>
      <c r="J67" s="202"/>
      <c r="K67" s="144">
        <v>57.3</v>
      </c>
      <c r="L67" s="23"/>
    </row>
    <row r="68" spans="1:12" ht="12.6" customHeight="1">
      <c r="A68" s="96" t="s">
        <v>12</v>
      </c>
      <c r="B68" s="144">
        <v>7.3</v>
      </c>
      <c r="C68" s="144">
        <v>1</v>
      </c>
      <c r="D68" s="144">
        <v>7.1</v>
      </c>
      <c r="E68" s="144">
        <v>0.2</v>
      </c>
      <c r="F68" s="144">
        <v>22</v>
      </c>
      <c r="G68" s="144">
        <v>0.5</v>
      </c>
      <c r="H68" s="144">
        <v>138.5</v>
      </c>
      <c r="I68" s="144">
        <v>0</v>
      </c>
      <c r="J68" s="203"/>
      <c r="K68" s="144">
        <v>176.7</v>
      </c>
      <c r="L68" s="23"/>
    </row>
    <row r="69" spans="1:12" ht="12.6" customHeight="1">
      <c r="A69" s="96" t="s">
        <v>13</v>
      </c>
      <c r="B69" s="144">
        <v>29.2</v>
      </c>
      <c r="C69" s="144">
        <v>0</v>
      </c>
      <c r="D69" s="144">
        <v>3.4</v>
      </c>
      <c r="E69" s="144">
        <v>1.2</v>
      </c>
      <c r="F69" s="144">
        <v>8.3000000000000007</v>
      </c>
      <c r="G69" s="144">
        <v>1.5</v>
      </c>
      <c r="H69" s="144">
        <v>31.3</v>
      </c>
      <c r="I69" s="144">
        <v>0</v>
      </c>
      <c r="J69" s="203"/>
      <c r="K69" s="144">
        <v>75</v>
      </c>
      <c r="L69" s="23"/>
    </row>
    <row r="70" spans="1:12" ht="12.6" customHeight="1">
      <c r="A70" s="96" t="s">
        <v>14</v>
      </c>
      <c r="B70" s="144">
        <v>0.1</v>
      </c>
      <c r="C70" s="144">
        <v>0.5</v>
      </c>
      <c r="D70" s="144">
        <v>0.7</v>
      </c>
      <c r="E70" s="144">
        <v>0</v>
      </c>
      <c r="F70" s="144">
        <v>0</v>
      </c>
      <c r="G70" s="144">
        <v>0.5</v>
      </c>
      <c r="H70" s="144">
        <v>0.2</v>
      </c>
      <c r="I70" s="144">
        <v>4.2</v>
      </c>
      <c r="J70" s="203"/>
      <c r="K70" s="144">
        <v>6.1</v>
      </c>
      <c r="L70" s="23"/>
    </row>
    <row r="71" spans="1:12" ht="12.6" customHeight="1">
      <c r="A71" s="96" t="s">
        <v>15</v>
      </c>
      <c r="B71" s="144">
        <v>0.4</v>
      </c>
      <c r="C71" s="144">
        <v>0</v>
      </c>
      <c r="D71" s="144">
        <v>0</v>
      </c>
      <c r="E71" s="144">
        <v>0.2</v>
      </c>
      <c r="F71" s="144">
        <v>0</v>
      </c>
      <c r="G71" s="144">
        <v>0</v>
      </c>
      <c r="H71" s="144">
        <v>31.2</v>
      </c>
      <c r="I71" s="144">
        <v>1.8</v>
      </c>
      <c r="J71" s="203"/>
      <c r="K71" s="144">
        <v>33.5</v>
      </c>
      <c r="L71" s="23"/>
    </row>
    <row r="72" spans="1:12" ht="12.6" customHeight="1">
      <c r="A72" s="96" t="s">
        <v>16</v>
      </c>
      <c r="B72" s="144">
        <v>13.1</v>
      </c>
      <c r="C72" s="144">
        <v>0</v>
      </c>
      <c r="D72" s="144">
        <v>30.4</v>
      </c>
      <c r="E72" s="144">
        <v>1.1000000000000001</v>
      </c>
      <c r="F72" s="144">
        <v>40.4</v>
      </c>
      <c r="G72" s="144">
        <v>4.9000000000000004</v>
      </c>
      <c r="H72" s="144">
        <v>31.4</v>
      </c>
      <c r="I72" s="144">
        <v>6.4</v>
      </c>
      <c r="J72" s="203"/>
      <c r="K72" s="144">
        <v>127.5</v>
      </c>
      <c r="L72" s="23"/>
    </row>
    <row r="73" spans="1:12" ht="12.6" customHeight="1">
      <c r="A73" s="96" t="s">
        <v>17</v>
      </c>
      <c r="B73" s="144">
        <v>3.1</v>
      </c>
      <c r="C73" s="144">
        <v>0</v>
      </c>
      <c r="D73" s="144">
        <v>25.3</v>
      </c>
      <c r="E73" s="144">
        <v>0.5</v>
      </c>
      <c r="F73" s="144">
        <v>0.6</v>
      </c>
      <c r="G73" s="144">
        <v>0</v>
      </c>
      <c r="H73" s="144">
        <v>80.8</v>
      </c>
      <c r="I73" s="144">
        <v>0</v>
      </c>
      <c r="J73" s="203"/>
      <c r="K73" s="144">
        <v>110.3</v>
      </c>
      <c r="L73" s="23"/>
    </row>
    <row r="74" spans="1:12" ht="12.6" customHeight="1">
      <c r="A74" s="96" t="s">
        <v>571</v>
      </c>
      <c r="B74" s="144">
        <v>0</v>
      </c>
      <c r="C74" s="144">
        <v>0</v>
      </c>
      <c r="D74" s="144">
        <v>0.1</v>
      </c>
      <c r="E74" s="144">
        <v>1.7</v>
      </c>
      <c r="F74" s="144">
        <v>0</v>
      </c>
      <c r="G74" s="144">
        <v>0</v>
      </c>
      <c r="H74" s="144">
        <v>3.2</v>
      </c>
      <c r="I74" s="144">
        <v>0</v>
      </c>
      <c r="J74" s="203"/>
      <c r="K74" s="144">
        <v>253.6</v>
      </c>
      <c r="L74" s="23"/>
    </row>
    <row r="75" spans="1:12" ht="12.6" customHeight="1">
      <c r="A75" s="96" t="s">
        <v>18</v>
      </c>
      <c r="B75" s="144">
        <v>1.7</v>
      </c>
      <c r="C75" s="144">
        <v>0.5</v>
      </c>
      <c r="D75" s="144">
        <v>0</v>
      </c>
      <c r="E75" s="144">
        <v>0</v>
      </c>
      <c r="F75" s="144">
        <v>0.9</v>
      </c>
      <c r="G75" s="144">
        <v>0</v>
      </c>
      <c r="H75" s="144">
        <v>4.2</v>
      </c>
      <c r="I75" s="144">
        <v>0.9</v>
      </c>
      <c r="J75" s="203"/>
      <c r="K75" s="144">
        <v>8.1999999999999993</v>
      </c>
      <c r="L75" s="23"/>
    </row>
    <row r="76" spans="1:12" ht="12.6" customHeight="1">
      <c r="A76" s="96" t="s">
        <v>19</v>
      </c>
      <c r="B76" s="144">
        <v>9.6</v>
      </c>
      <c r="C76" s="144">
        <v>0.9</v>
      </c>
      <c r="D76" s="144">
        <v>8.3000000000000007</v>
      </c>
      <c r="E76" s="144">
        <v>0.1</v>
      </c>
      <c r="F76" s="144">
        <v>12.2</v>
      </c>
      <c r="G76" s="144">
        <v>1.6</v>
      </c>
      <c r="H76" s="144">
        <v>75.7</v>
      </c>
      <c r="I76" s="144">
        <v>0.9</v>
      </c>
      <c r="J76" s="203"/>
      <c r="K76" s="144">
        <v>109.2</v>
      </c>
      <c r="L76" s="23"/>
    </row>
    <row r="77" spans="1:12" ht="12.6" customHeight="1">
      <c r="A77" s="96" t="s">
        <v>564</v>
      </c>
      <c r="B77" s="144">
        <v>1</v>
      </c>
      <c r="C77" s="144">
        <v>0.4</v>
      </c>
      <c r="D77" s="144">
        <v>0</v>
      </c>
      <c r="E77" s="144">
        <v>0</v>
      </c>
      <c r="F77" s="144">
        <v>0</v>
      </c>
      <c r="G77" s="144">
        <v>0</v>
      </c>
      <c r="H77" s="144">
        <v>0</v>
      </c>
      <c r="I77" s="144">
        <v>0</v>
      </c>
      <c r="J77" s="203"/>
      <c r="K77" s="144">
        <v>1.4</v>
      </c>
      <c r="L77" s="23"/>
    </row>
    <row r="78" spans="1:12" ht="12.6" customHeight="1">
      <c r="A78" s="96" t="s">
        <v>20</v>
      </c>
      <c r="B78" s="144">
        <v>9.4</v>
      </c>
      <c r="C78" s="144">
        <v>22.3</v>
      </c>
      <c r="D78" s="144">
        <v>0.4</v>
      </c>
      <c r="E78" s="144">
        <v>23.5</v>
      </c>
      <c r="F78" s="144">
        <v>7.2</v>
      </c>
      <c r="G78" s="144">
        <v>0.9</v>
      </c>
      <c r="H78" s="144">
        <v>133.4</v>
      </c>
      <c r="I78" s="144">
        <v>26.9</v>
      </c>
      <c r="J78" s="203"/>
      <c r="K78" s="144">
        <v>224</v>
      </c>
      <c r="L78" s="23"/>
    </row>
    <row r="79" spans="1:12" ht="12.6" customHeight="1">
      <c r="A79" s="96" t="s">
        <v>60</v>
      </c>
      <c r="B79" s="144">
        <v>4.2</v>
      </c>
      <c r="C79" s="144">
        <v>0</v>
      </c>
      <c r="D79" s="144">
        <v>0</v>
      </c>
      <c r="E79" s="144">
        <v>0.6</v>
      </c>
      <c r="F79" s="144">
        <v>1</v>
      </c>
      <c r="G79" s="144">
        <v>0</v>
      </c>
      <c r="H79" s="144">
        <v>0</v>
      </c>
      <c r="I79" s="144">
        <v>0.9</v>
      </c>
      <c r="J79" s="203"/>
      <c r="K79" s="144">
        <v>6.6</v>
      </c>
      <c r="L79" s="23"/>
    </row>
    <row r="80" spans="1:12" ht="12.6" customHeight="1">
      <c r="A80" s="96" t="s">
        <v>579</v>
      </c>
      <c r="B80" s="144">
        <v>68.900000000000006</v>
      </c>
      <c r="C80" s="144">
        <v>2.8</v>
      </c>
      <c r="D80" s="144">
        <v>107.3</v>
      </c>
      <c r="E80" s="144">
        <v>5.7</v>
      </c>
      <c r="F80" s="144">
        <v>85.7</v>
      </c>
      <c r="G80" s="144">
        <v>8.9</v>
      </c>
      <c r="H80" s="144">
        <v>421</v>
      </c>
      <c r="I80" s="144">
        <v>15</v>
      </c>
      <c r="J80" s="203"/>
      <c r="K80" s="144">
        <v>715.3</v>
      </c>
      <c r="L80" s="23"/>
    </row>
    <row r="81" spans="1:12" ht="12.6" customHeight="1">
      <c r="A81" s="154" t="s">
        <v>1313</v>
      </c>
      <c r="B81" s="155">
        <f>B82-B78-B77</f>
        <v>68.899999999999991</v>
      </c>
      <c r="C81" s="155">
        <f t="shared" ref="C81:H81" si="4">C82-C78-C77</f>
        <v>2.7999999999999994</v>
      </c>
      <c r="D81" s="155">
        <f t="shared" si="4"/>
        <v>107.3</v>
      </c>
      <c r="E81" s="155">
        <f t="shared" si="4"/>
        <v>5.6999999999999993</v>
      </c>
      <c r="F81" s="155">
        <f t="shared" si="4"/>
        <v>85.7</v>
      </c>
      <c r="G81" s="155">
        <f t="shared" si="4"/>
        <v>8.9</v>
      </c>
      <c r="H81" s="155">
        <f t="shared" si="4"/>
        <v>421</v>
      </c>
      <c r="I81" s="155">
        <f>I82-I78-I77</f>
        <v>15</v>
      </c>
      <c r="J81" s="204"/>
      <c r="K81" s="155">
        <f>K82-K78-K77</f>
        <v>963.80000000000007</v>
      </c>
      <c r="L81" s="23"/>
    </row>
    <row r="82" spans="1:12" ht="12.6" customHeight="1">
      <c r="A82" s="154" t="s">
        <v>44</v>
      </c>
      <c r="B82" s="155">
        <v>79.3</v>
      </c>
      <c r="C82" s="155">
        <v>25.5</v>
      </c>
      <c r="D82" s="155">
        <v>107.7</v>
      </c>
      <c r="E82" s="155">
        <v>29.2</v>
      </c>
      <c r="F82" s="155">
        <v>92.9</v>
      </c>
      <c r="G82" s="155">
        <v>9.8000000000000007</v>
      </c>
      <c r="H82" s="155">
        <f>SUM(H67:H79)</f>
        <v>554.4</v>
      </c>
      <c r="I82" s="155">
        <v>41.9</v>
      </c>
      <c r="J82" s="155">
        <v>248.6</v>
      </c>
      <c r="K82" s="155">
        <v>1189.2</v>
      </c>
      <c r="L82" s="23"/>
    </row>
    <row r="83" spans="1:12" ht="12.6" customHeight="1">
      <c r="A83" s="156"/>
      <c r="B83" s="115"/>
      <c r="C83" s="115"/>
      <c r="D83" s="115"/>
      <c r="E83" s="115"/>
      <c r="F83" s="115"/>
      <c r="G83" s="115"/>
      <c r="H83" s="88"/>
      <c r="I83" s="88"/>
      <c r="J83" s="88"/>
      <c r="K83" s="88"/>
    </row>
    <row r="84" spans="1:12" ht="12.6" customHeight="1">
      <c r="A84" s="153" t="s">
        <v>1968</v>
      </c>
      <c r="B84" s="153" t="s">
        <v>24</v>
      </c>
      <c r="C84" s="153" t="s">
        <v>566</v>
      </c>
      <c r="D84" s="153" t="s">
        <v>567</v>
      </c>
      <c r="E84" s="153" t="s">
        <v>8</v>
      </c>
      <c r="F84" s="153" t="s">
        <v>568</v>
      </c>
      <c r="G84" s="153" t="s">
        <v>569</v>
      </c>
      <c r="H84" s="153" t="s">
        <v>25</v>
      </c>
      <c r="I84" s="153" t="s">
        <v>92</v>
      </c>
      <c r="J84" s="153" t="s">
        <v>577</v>
      </c>
      <c r="K84" s="153" t="s">
        <v>22</v>
      </c>
    </row>
    <row r="85" spans="1:12" ht="12.6" customHeight="1">
      <c r="A85" s="96" t="s">
        <v>11</v>
      </c>
      <c r="B85" s="144">
        <v>0.3</v>
      </c>
      <c r="C85" s="144">
        <v>0</v>
      </c>
      <c r="D85" s="144">
        <v>24.3</v>
      </c>
      <c r="E85" s="144">
        <v>0</v>
      </c>
      <c r="F85" s="144">
        <v>0.4</v>
      </c>
      <c r="G85" s="144">
        <v>0</v>
      </c>
      <c r="H85" s="144">
        <v>24.6</v>
      </c>
      <c r="I85" s="144">
        <v>0</v>
      </c>
      <c r="J85" s="202"/>
      <c r="K85" s="144">
        <v>49.6</v>
      </c>
    </row>
    <row r="86" spans="1:12" ht="12.6" customHeight="1">
      <c r="A86" s="96" t="s">
        <v>12</v>
      </c>
      <c r="B86" s="144">
        <v>7</v>
      </c>
      <c r="C86" s="144">
        <v>1</v>
      </c>
      <c r="D86" s="144">
        <v>6</v>
      </c>
      <c r="E86" s="144">
        <v>0.2</v>
      </c>
      <c r="F86" s="144">
        <v>22.7</v>
      </c>
      <c r="G86" s="144">
        <v>0.6</v>
      </c>
      <c r="H86" s="144">
        <v>139.5</v>
      </c>
      <c r="I86" s="144">
        <v>0</v>
      </c>
      <c r="J86" s="203"/>
      <c r="K86" s="144">
        <v>177</v>
      </c>
    </row>
    <row r="87" spans="1:12" ht="12.6" customHeight="1">
      <c r="A87" s="96" t="s">
        <v>13</v>
      </c>
      <c r="B87" s="144">
        <v>29.5</v>
      </c>
      <c r="C87" s="144">
        <v>0</v>
      </c>
      <c r="D87" s="144">
        <v>3.4</v>
      </c>
      <c r="E87" s="144">
        <v>1.3</v>
      </c>
      <c r="F87" s="144">
        <v>7.3</v>
      </c>
      <c r="G87" s="144">
        <v>1.7</v>
      </c>
      <c r="H87" s="144">
        <v>31.3</v>
      </c>
      <c r="I87" s="144">
        <v>0</v>
      </c>
      <c r="J87" s="203"/>
      <c r="K87" s="144">
        <v>74.500000000000014</v>
      </c>
    </row>
    <row r="88" spans="1:12" ht="12.6" customHeight="1">
      <c r="A88" s="96" t="s">
        <v>14</v>
      </c>
      <c r="B88" s="144">
        <v>0.1</v>
      </c>
      <c r="C88" s="144">
        <v>0.5</v>
      </c>
      <c r="D88" s="144">
        <v>4</v>
      </c>
      <c r="E88" s="144">
        <v>0</v>
      </c>
      <c r="F88" s="144">
        <v>0</v>
      </c>
      <c r="G88" s="144">
        <v>0.5</v>
      </c>
      <c r="H88" s="144">
        <v>0.2</v>
      </c>
      <c r="I88" s="144">
        <v>4.2</v>
      </c>
      <c r="J88" s="203"/>
      <c r="K88" s="144">
        <v>9.5</v>
      </c>
    </row>
    <row r="89" spans="1:12" ht="12.6" customHeight="1">
      <c r="A89" s="96" t="s">
        <v>15</v>
      </c>
      <c r="B89" s="144">
        <v>0.4</v>
      </c>
      <c r="C89" s="144">
        <v>0</v>
      </c>
      <c r="D89" s="144">
        <v>0</v>
      </c>
      <c r="E89" s="144">
        <v>0.2</v>
      </c>
      <c r="F89" s="144">
        <v>0</v>
      </c>
      <c r="G89" s="144">
        <v>0</v>
      </c>
      <c r="H89" s="144">
        <v>31.2</v>
      </c>
      <c r="I89" s="144">
        <v>2.4</v>
      </c>
      <c r="J89" s="203"/>
      <c r="K89" s="144">
        <v>34.200000000000003</v>
      </c>
    </row>
    <row r="90" spans="1:12" ht="12.6" customHeight="1">
      <c r="A90" s="96" t="s">
        <v>16</v>
      </c>
      <c r="B90" s="144">
        <v>12.6</v>
      </c>
      <c r="C90" s="144">
        <v>0</v>
      </c>
      <c r="D90" s="144">
        <v>30.8</v>
      </c>
      <c r="E90" s="144">
        <v>1.1000000000000001</v>
      </c>
      <c r="F90" s="144">
        <v>39.799999999999997</v>
      </c>
      <c r="G90" s="144">
        <v>5.0999999999999996</v>
      </c>
      <c r="H90" s="144">
        <v>32.700000000000003</v>
      </c>
      <c r="I90" s="144">
        <v>9.6999999999999993</v>
      </c>
      <c r="J90" s="203"/>
      <c r="K90" s="144">
        <v>131.80000000000001</v>
      </c>
    </row>
    <row r="91" spans="1:12" ht="12.6" customHeight="1">
      <c r="A91" s="96" t="s">
        <v>17</v>
      </c>
      <c r="B91" s="144">
        <v>2</v>
      </c>
      <c r="C91" s="144">
        <v>0</v>
      </c>
      <c r="D91" s="144">
        <v>25.3</v>
      </c>
      <c r="E91" s="144">
        <v>0.6</v>
      </c>
      <c r="F91" s="144">
        <v>0.7</v>
      </c>
      <c r="G91" s="144">
        <v>0</v>
      </c>
      <c r="H91" s="144">
        <v>79.400000000000006</v>
      </c>
      <c r="I91" s="144">
        <v>0</v>
      </c>
      <c r="J91" s="203"/>
      <c r="K91" s="144">
        <v>108</v>
      </c>
    </row>
    <row r="92" spans="1:12" ht="12.6" customHeight="1">
      <c r="A92" s="96" t="s">
        <v>571</v>
      </c>
      <c r="B92" s="144">
        <v>0</v>
      </c>
      <c r="C92" s="144">
        <v>0</v>
      </c>
      <c r="D92" s="144">
        <v>0.1</v>
      </c>
      <c r="E92" s="144">
        <v>1.8</v>
      </c>
      <c r="F92" s="144">
        <v>0</v>
      </c>
      <c r="G92" s="144">
        <v>0</v>
      </c>
      <c r="H92" s="144">
        <v>3.2</v>
      </c>
      <c r="I92" s="144">
        <v>0</v>
      </c>
      <c r="J92" s="203"/>
      <c r="K92" s="144">
        <v>246.1</v>
      </c>
    </row>
    <row r="93" spans="1:12" ht="12.6" customHeight="1">
      <c r="A93" s="96" t="s">
        <v>18</v>
      </c>
      <c r="B93" s="144">
        <v>1.9</v>
      </c>
      <c r="C93" s="144">
        <v>0.7</v>
      </c>
      <c r="D93" s="144">
        <v>0</v>
      </c>
      <c r="E93" s="144">
        <v>0</v>
      </c>
      <c r="F93" s="144">
        <v>0.6</v>
      </c>
      <c r="G93" s="144">
        <v>0</v>
      </c>
      <c r="H93" s="144">
        <v>5</v>
      </c>
      <c r="I93" s="144">
        <v>1</v>
      </c>
      <c r="J93" s="203"/>
      <c r="K93" s="144">
        <v>9.1999999999999993</v>
      </c>
    </row>
    <row r="94" spans="1:12" ht="12.6" customHeight="1">
      <c r="A94" s="96" t="s">
        <v>19</v>
      </c>
      <c r="B94" s="144">
        <v>8.6999999999999993</v>
      </c>
      <c r="C94" s="144">
        <v>0.9</v>
      </c>
      <c r="D94" s="144">
        <v>8.6999999999999993</v>
      </c>
      <c r="E94" s="144">
        <v>0.1</v>
      </c>
      <c r="F94" s="144">
        <v>12.4</v>
      </c>
      <c r="G94" s="144">
        <v>1.8</v>
      </c>
      <c r="H94" s="144">
        <v>79.5</v>
      </c>
      <c r="I94" s="144">
        <v>0.9</v>
      </c>
      <c r="J94" s="203"/>
      <c r="K94" s="144">
        <v>113</v>
      </c>
    </row>
    <row r="95" spans="1:12" ht="12.6" customHeight="1">
      <c r="A95" s="96" t="s">
        <v>564</v>
      </c>
      <c r="B95" s="144">
        <v>1</v>
      </c>
      <c r="C95" s="144">
        <v>0.4</v>
      </c>
      <c r="D95" s="144">
        <v>0</v>
      </c>
      <c r="E95" s="144">
        <v>0</v>
      </c>
      <c r="F95" s="144">
        <v>0</v>
      </c>
      <c r="G95" s="144">
        <v>0</v>
      </c>
      <c r="H95" s="144">
        <v>0</v>
      </c>
      <c r="I95" s="144">
        <v>0</v>
      </c>
      <c r="J95" s="203"/>
      <c r="K95" s="144">
        <v>1.4</v>
      </c>
    </row>
    <row r="96" spans="1:12" ht="12.6" customHeight="1">
      <c r="A96" s="96" t="s">
        <v>20</v>
      </c>
      <c r="B96" s="144">
        <v>7.6</v>
      </c>
      <c r="C96" s="144">
        <v>22.3</v>
      </c>
      <c r="D96" s="144">
        <v>0.5</v>
      </c>
      <c r="E96" s="144">
        <v>23.7</v>
      </c>
      <c r="F96" s="144">
        <v>8.1</v>
      </c>
      <c r="G96" s="144">
        <v>1</v>
      </c>
      <c r="H96" s="144">
        <v>135.80000000000001</v>
      </c>
      <c r="I96" s="144">
        <v>27.1</v>
      </c>
      <c r="J96" s="203"/>
      <c r="K96" s="144">
        <v>226.10000000000002</v>
      </c>
    </row>
    <row r="97" spans="1:11" ht="12.6" customHeight="1">
      <c r="A97" s="96" t="s">
        <v>60</v>
      </c>
      <c r="B97" s="144">
        <v>4</v>
      </c>
      <c r="C97" s="144">
        <v>0</v>
      </c>
      <c r="D97" s="144">
        <v>0</v>
      </c>
      <c r="E97" s="144">
        <v>0.6</v>
      </c>
      <c r="F97" s="144">
        <v>1</v>
      </c>
      <c r="G97" s="144">
        <v>0</v>
      </c>
      <c r="H97" s="144">
        <v>0</v>
      </c>
      <c r="I97" s="144">
        <v>0.9</v>
      </c>
      <c r="J97" s="203"/>
      <c r="K97" s="144">
        <v>6.5</v>
      </c>
    </row>
    <row r="98" spans="1:11" ht="12.6" customHeight="1">
      <c r="A98" s="96" t="s">
        <v>579</v>
      </c>
      <c r="B98" s="144">
        <v>66.400000000000006</v>
      </c>
      <c r="C98" s="144">
        <v>3.1</v>
      </c>
      <c r="D98" s="144">
        <v>102.4</v>
      </c>
      <c r="E98" s="144">
        <v>5.9</v>
      </c>
      <c r="F98" s="144">
        <v>84.7</v>
      </c>
      <c r="G98" s="144">
        <v>9.6</v>
      </c>
      <c r="H98" s="144">
        <v>426.5</v>
      </c>
      <c r="I98" s="144">
        <v>19</v>
      </c>
      <c r="J98" s="203"/>
      <c r="K98" s="144">
        <v>717.6</v>
      </c>
    </row>
    <row r="99" spans="1:11" ht="12.6" customHeight="1">
      <c r="A99" s="154" t="s">
        <v>1313</v>
      </c>
      <c r="B99" s="155">
        <f>B100-B96-B95</f>
        <v>66.400000000000006</v>
      </c>
      <c r="C99" s="155">
        <f t="shared" ref="C99:I99" si="5">C100-C96-C95</f>
        <v>3.1</v>
      </c>
      <c r="D99" s="155">
        <f t="shared" si="5"/>
        <v>102.4</v>
      </c>
      <c r="E99" s="155">
        <f t="shared" si="5"/>
        <v>6</v>
      </c>
      <c r="F99" s="155">
        <f t="shared" si="5"/>
        <v>84.800000000000011</v>
      </c>
      <c r="G99" s="155">
        <f t="shared" si="5"/>
        <v>9.6</v>
      </c>
      <c r="H99" s="155">
        <f t="shared" si="5"/>
        <v>426.49999999999994</v>
      </c>
      <c r="I99" s="155">
        <f t="shared" si="5"/>
        <v>19</v>
      </c>
      <c r="J99" s="204"/>
      <c r="K99" s="155">
        <f>K100-K96-K95</f>
        <v>958.59999999999991</v>
      </c>
    </row>
    <row r="100" spans="1:11" ht="12.6" customHeight="1">
      <c r="A100" s="154" t="s">
        <v>44</v>
      </c>
      <c r="B100" s="155">
        <v>75</v>
      </c>
      <c r="C100" s="155">
        <f t="shared" ref="C100" si="6">SUM(C85:C97)</f>
        <v>25.8</v>
      </c>
      <c r="D100" s="155">
        <v>102.9</v>
      </c>
      <c r="E100" s="155">
        <v>29.7</v>
      </c>
      <c r="F100" s="155">
        <v>92.9</v>
      </c>
      <c r="G100" s="155">
        <v>10.6</v>
      </c>
      <c r="H100" s="155">
        <v>562.29999999999995</v>
      </c>
      <c r="I100" s="155">
        <v>46.1</v>
      </c>
      <c r="J100" s="155">
        <v>241</v>
      </c>
      <c r="K100" s="155">
        <v>1186.0999999999999</v>
      </c>
    </row>
    <row r="101" spans="1:11" ht="12.6" customHeight="1">
      <c r="A101" s="156"/>
      <c r="B101" s="115"/>
      <c r="C101" s="115"/>
      <c r="D101" s="115"/>
      <c r="E101" s="115"/>
      <c r="F101" s="115"/>
      <c r="G101" s="115"/>
      <c r="H101" s="88"/>
      <c r="I101" s="88"/>
      <c r="J101" s="88"/>
      <c r="K101" s="88"/>
    </row>
    <row r="102" spans="1:11" ht="12.6" customHeight="1">
      <c r="A102" s="153" t="s">
        <v>1913</v>
      </c>
      <c r="B102" s="153" t="s">
        <v>24</v>
      </c>
      <c r="C102" s="153" t="s">
        <v>566</v>
      </c>
      <c r="D102" s="153" t="s">
        <v>567</v>
      </c>
      <c r="E102" s="153" t="s">
        <v>8</v>
      </c>
      <c r="F102" s="153" t="s">
        <v>568</v>
      </c>
      <c r="G102" s="153" t="s">
        <v>569</v>
      </c>
      <c r="H102" s="153" t="s">
        <v>25</v>
      </c>
      <c r="I102" s="153" t="s">
        <v>92</v>
      </c>
      <c r="J102" s="153" t="s">
        <v>577</v>
      </c>
      <c r="K102" s="153" t="s">
        <v>22</v>
      </c>
    </row>
    <row r="103" spans="1:11" ht="12.6" customHeight="1">
      <c r="A103" s="96" t="s">
        <v>11</v>
      </c>
      <c r="B103" s="144">
        <v>0.4</v>
      </c>
      <c r="C103" s="144">
        <v>0</v>
      </c>
      <c r="D103" s="144">
        <v>24.4</v>
      </c>
      <c r="E103" s="144">
        <v>0</v>
      </c>
      <c r="F103" s="144">
        <v>0.4</v>
      </c>
      <c r="G103" s="144">
        <v>0</v>
      </c>
      <c r="H103" s="144">
        <v>24.6</v>
      </c>
      <c r="I103" s="144">
        <v>0</v>
      </c>
      <c r="J103" s="202"/>
      <c r="K103" s="144">
        <f>SUM(B103:I103)</f>
        <v>49.8</v>
      </c>
    </row>
    <row r="104" spans="1:11" ht="12.6" customHeight="1">
      <c r="A104" s="96" t="s">
        <v>12</v>
      </c>
      <c r="B104" s="144">
        <v>6.2</v>
      </c>
      <c r="C104" s="144">
        <v>1</v>
      </c>
      <c r="D104" s="144">
        <v>6</v>
      </c>
      <c r="E104" s="144">
        <v>0.2</v>
      </c>
      <c r="F104" s="144">
        <v>20.6</v>
      </c>
      <c r="G104" s="144">
        <v>0.7</v>
      </c>
      <c r="H104" s="144">
        <v>122.2</v>
      </c>
      <c r="I104" s="144">
        <v>0</v>
      </c>
      <c r="J104" s="203"/>
      <c r="K104" s="144">
        <f>SUM(B104:I104)</f>
        <v>156.9</v>
      </c>
    </row>
    <row r="105" spans="1:11" ht="12.6" customHeight="1">
      <c r="A105" s="96" t="s">
        <v>13</v>
      </c>
      <c r="B105" s="144">
        <v>29.5</v>
      </c>
      <c r="C105" s="144">
        <v>0</v>
      </c>
      <c r="D105" s="144">
        <v>3.4</v>
      </c>
      <c r="E105" s="144">
        <v>1.3</v>
      </c>
      <c r="F105" s="144">
        <v>6</v>
      </c>
      <c r="G105" s="144">
        <v>1.5</v>
      </c>
      <c r="H105" s="144">
        <v>31.3</v>
      </c>
      <c r="I105" s="144">
        <v>0</v>
      </c>
      <c r="J105" s="203"/>
      <c r="K105" s="144">
        <f>SUM(B105:I105)</f>
        <v>73</v>
      </c>
    </row>
    <row r="106" spans="1:11" ht="12.6" customHeight="1">
      <c r="A106" s="96" t="s">
        <v>14</v>
      </c>
      <c r="B106" s="144">
        <v>0.1</v>
      </c>
      <c r="C106" s="144">
        <v>0.5</v>
      </c>
      <c r="D106" s="144">
        <v>4</v>
      </c>
      <c r="E106" s="144">
        <v>0</v>
      </c>
      <c r="F106" s="144">
        <v>0</v>
      </c>
      <c r="G106" s="144">
        <v>0.5</v>
      </c>
      <c r="H106" s="144">
        <v>0.2</v>
      </c>
      <c r="I106" s="144">
        <v>4.2</v>
      </c>
      <c r="J106" s="203"/>
      <c r="K106" s="144">
        <v>9.4</v>
      </c>
    </row>
    <row r="107" spans="1:11" ht="12.6" customHeight="1">
      <c r="A107" s="96" t="s">
        <v>15</v>
      </c>
      <c r="B107" s="144">
        <v>0.5</v>
      </c>
      <c r="C107" s="144">
        <v>0</v>
      </c>
      <c r="D107" s="144">
        <v>0</v>
      </c>
      <c r="E107" s="144">
        <v>0.2</v>
      </c>
      <c r="F107" s="144">
        <v>0</v>
      </c>
      <c r="G107" s="144">
        <v>0</v>
      </c>
      <c r="H107" s="144">
        <v>30.7</v>
      </c>
      <c r="I107" s="144">
        <v>2.5</v>
      </c>
      <c r="J107" s="203"/>
      <c r="K107" s="144">
        <v>33.799999999999997</v>
      </c>
    </row>
    <row r="108" spans="1:11" ht="12.6" customHeight="1">
      <c r="A108" s="96" t="s">
        <v>16</v>
      </c>
      <c r="B108" s="144">
        <v>10.199999999999999</v>
      </c>
      <c r="C108" s="144">
        <v>0</v>
      </c>
      <c r="D108" s="144">
        <v>42</v>
      </c>
      <c r="E108" s="144">
        <v>1.2</v>
      </c>
      <c r="F108" s="144">
        <v>39.6</v>
      </c>
      <c r="G108" s="144">
        <v>5.0999999999999996</v>
      </c>
      <c r="H108" s="144">
        <v>32.5</v>
      </c>
      <c r="I108" s="144">
        <v>10</v>
      </c>
      <c r="J108" s="203"/>
      <c r="K108" s="144">
        <f>SUM(B108:I108)</f>
        <v>140.6</v>
      </c>
    </row>
    <row r="109" spans="1:11" ht="12.6" customHeight="1">
      <c r="A109" s="96" t="s">
        <v>17</v>
      </c>
      <c r="B109" s="144">
        <v>2.2000000000000002</v>
      </c>
      <c r="C109" s="144">
        <v>0</v>
      </c>
      <c r="D109" s="144">
        <v>25.3</v>
      </c>
      <c r="E109" s="144">
        <v>0.7</v>
      </c>
      <c r="F109" s="144">
        <v>0.4</v>
      </c>
      <c r="G109" s="144">
        <v>0</v>
      </c>
      <c r="H109" s="144">
        <v>79.3</v>
      </c>
      <c r="I109" s="144">
        <v>0</v>
      </c>
      <c r="J109" s="203"/>
      <c r="K109" s="144">
        <v>107.7</v>
      </c>
    </row>
    <row r="110" spans="1:11" ht="12.6" customHeight="1">
      <c r="A110" s="96" t="s">
        <v>571</v>
      </c>
      <c r="B110" s="144">
        <v>0</v>
      </c>
      <c r="C110" s="144">
        <v>0</v>
      </c>
      <c r="D110" s="144">
        <v>0.1</v>
      </c>
      <c r="E110" s="144">
        <v>1.8</v>
      </c>
      <c r="F110" s="144">
        <v>0</v>
      </c>
      <c r="G110" s="144">
        <v>0</v>
      </c>
      <c r="H110" s="144">
        <v>3.2</v>
      </c>
      <c r="I110" s="144">
        <v>0</v>
      </c>
      <c r="J110" s="203"/>
      <c r="K110" s="144">
        <f>SUM(B110:I110)</f>
        <v>5.1000000000000005</v>
      </c>
    </row>
    <row r="111" spans="1:11" ht="12.6" customHeight="1">
      <c r="A111" s="96" t="s">
        <v>18</v>
      </c>
      <c r="B111" s="144">
        <v>1.9</v>
      </c>
      <c r="C111" s="144">
        <v>0.7</v>
      </c>
      <c r="D111" s="144">
        <v>0</v>
      </c>
      <c r="E111" s="144">
        <v>0</v>
      </c>
      <c r="F111" s="144">
        <v>0.7</v>
      </c>
      <c r="G111" s="144">
        <v>0</v>
      </c>
      <c r="H111" s="144">
        <v>5.3</v>
      </c>
      <c r="I111" s="144">
        <v>1</v>
      </c>
      <c r="J111" s="203"/>
      <c r="K111" s="144">
        <f>SUM(B111:I111)</f>
        <v>9.6</v>
      </c>
    </row>
    <row r="112" spans="1:11" ht="12.6" customHeight="1">
      <c r="A112" s="96" t="s">
        <v>19</v>
      </c>
      <c r="B112" s="144">
        <v>9.5</v>
      </c>
      <c r="C112" s="144">
        <v>0.9</v>
      </c>
      <c r="D112" s="144">
        <v>9</v>
      </c>
      <c r="E112" s="144">
        <v>0.1</v>
      </c>
      <c r="F112" s="144">
        <v>11.3</v>
      </c>
      <c r="G112" s="144">
        <v>2.2999999999999998</v>
      </c>
      <c r="H112" s="144">
        <v>77.8</v>
      </c>
      <c r="I112" s="144">
        <v>1</v>
      </c>
      <c r="J112" s="203"/>
      <c r="K112" s="144">
        <v>111.7</v>
      </c>
    </row>
    <row r="113" spans="1:11" ht="12.6" customHeight="1">
      <c r="A113" s="96" t="s">
        <v>564</v>
      </c>
      <c r="B113" s="144">
        <v>1.2</v>
      </c>
      <c r="C113" s="144">
        <v>0.6</v>
      </c>
      <c r="D113" s="144">
        <v>0</v>
      </c>
      <c r="E113" s="144">
        <v>0</v>
      </c>
      <c r="F113" s="144">
        <v>0</v>
      </c>
      <c r="G113" s="144">
        <v>0</v>
      </c>
      <c r="H113" s="144">
        <v>0</v>
      </c>
      <c r="I113" s="144">
        <v>0</v>
      </c>
      <c r="J113" s="203"/>
      <c r="K113" s="144">
        <f>SUM(B113:I113)</f>
        <v>1.7999999999999998</v>
      </c>
    </row>
    <row r="114" spans="1:11" ht="12.6" customHeight="1">
      <c r="A114" s="96" t="s">
        <v>20</v>
      </c>
      <c r="B114" s="144">
        <v>6.8</v>
      </c>
      <c r="C114" s="144">
        <v>22.3</v>
      </c>
      <c r="D114" s="144">
        <v>0.2</v>
      </c>
      <c r="E114" s="144">
        <v>23.7</v>
      </c>
      <c r="F114" s="144">
        <v>8.3000000000000007</v>
      </c>
      <c r="G114" s="144">
        <v>0.6</v>
      </c>
      <c r="H114" s="144">
        <v>132</v>
      </c>
      <c r="I114" s="144">
        <v>27.6</v>
      </c>
      <c r="J114" s="203"/>
      <c r="K114" s="144">
        <v>221.4</v>
      </c>
    </row>
    <row r="115" spans="1:11" ht="12.6" customHeight="1">
      <c r="A115" s="96" t="s">
        <v>60</v>
      </c>
      <c r="B115" s="144">
        <v>3.5</v>
      </c>
      <c r="C115" s="144">
        <v>0</v>
      </c>
      <c r="D115" s="144">
        <v>0</v>
      </c>
      <c r="E115" s="144">
        <v>0.6</v>
      </c>
      <c r="F115" s="144">
        <v>1</v>
      </c>
      <c r="G115" s="144">
        <v>0</v>
      </c>
      <c r="H115" s="144">
        <v>0</v>
      </c>
      <c r="I115" s="144">
        <v>0.9</v>
      </c>
      <c r="J115" s="203"/>
      <c r="K115" s="144">
        <v>5.9</v>
      </c>
    </row>
    <row r="116" spans="1:11" ht="12.6" customHeight="1">
      <c r="A116" s="96" t="s">
        <v>579</v>
      </c>
      <c r="B116" s="144">
        <v>63.9</v>
      </c>
      <c r="C116" s="144">
        <v>3.1</v>
      </c>
      <c r="D116" s="144">
        <v>114.2</v>
      </c>
      <c r="E116" s="144">
        <v>6</v>
      </c>
      <c r="F116" s="144">
        <v>79.8</v>
      </c>
      <c r="G116" s="144">
        <v>19.5</v>
      </c>
      <c r="H116" s="144">
        <v>407</v>
      </c>
      <c r="I116" s="144">
        <v>19.5</v>
      </c>
      <c r="J116" s="203"/>
      <c r="K116" s="144">
        <f>SUM(B116:I116)</f>
        <v>713</v>
      </c>
    </row>
    <row r="117" spans="1:11" ht="12.6" customHeight="1">
      <c r="A117" s="154" t="s">
        <v>1313</v>
      </c>
      <c r="B117" s="155">
        <f>B118-B114-B113</f>
        <v>63.900000000000006</v>
      </c>
      <c r="C117" s="155">
        <f t="shared" ref="C117:I117" si="7">C118-C114-C113</f>
        <v>3.0999999999999992</v>
      </c>
      <c r="D117" s="155">
        <f t="shared" si="7"/>
        <v>114.2</v>
      </c>
      <c r="E117" s="155">
        <f t="shared" si="7"/>
        <v>6.1000000000000014</v>
      </c>
      <c r="F117" s="155">
        <f t="shared" si="7"/>
        <v>79.8</v>
      </c>
      <c r="G117" s="155">
        <f t="shared" si="7"/>
        <v>10</v>
      </c>
      <c r="H117" s="155">
        <f t="shared" si="7"/>
        <v>407</v>
      </c>
      <c r="I117" s="155">
        <f t="shared" si="7"/>
        <v>19.5</v>
      </c>
      <c r="J117" s="204"/>
      <c r="K117" s="155">
        <f>SUM(K103:K115)-K114-K113</f>
        <v>703.50000000000011</v>
      </c>
    </row>
    <row r="118" spans="1:11" ht="12.6" customHeight="1">
      <c r="A118" s="154" t="s">
        <v>44</v>
      </c>
      <c r="B118" s="155">
        <v>71.900000000000006</v>
      </c>
      <c r="C118" s="155">
        <v>26</v>
      </c>
      <c r="D118" s="155">
        <v>114.4</v>
      </c>
      <c r="E118" s="155">
        <v>29.8</v>
      </c>
      <c r="F118" s="155">
        <v>88.1</v>
      </c>
      <c r="G118" s="155">
        <v>10.6</v>
      </c>
      <c r="H118" s="155">
        <v>539</v>
      </c>
      <c r="I118" s="155">
        <v>47.1</v>
      </c>
      <c r="J118" s="155">
        <v>235.6</v>
      </c>
      <c r="K118" s="155">
        <v>1180.5999999999999</v>
      </c>
    </row>
    <row r="119" spans="1:11" ht="12.6" customHeight="1">
      <c r="A119" s="156"/>
      <c r="B119" s="115"/>
      <c r="C119" s="115"/>
      <c r="D119" s="115"/>
      <c r="E119" s="115"/>
      <c r="F119" s="115"/>
      <c r="G119" s="115"/>
      <c r="H119" s="88"/>
      <c r="I119" s="88"/>
      <c r="J119" s="88"/>
      <c r="K119" s="88"/>
    </row>
    <row r="120" spans="1:11" ht="12.6" customHeight="1">
      <c r="A120" s="153" t="s">
        <v>1784</v>
      </c>
      <c r="B120" s="153" t="s">
        <v>24</v>
      </c>
      <c r="C120" s="153" t="s">
        <v>566</v>
      </c>
      <c r="D120" s="153" t="s">
        <v>567</v>
      </c>
      <c r="E120" s="153" t="s">
        <v>8</v>
      </c>
      <c r="F120" s="153" t="s">
        <v>568</v>
      </c>
      <c r="G120" s="153" t="s">
        <v>569</v>
      </c>
      <c r="H120" s="153" t="s">
        <v>25</v>
      </c>
      <c r="I120" s="153" t="s">
        <v>92</v>
      </c>
      <c r="J120" s="153" t="s">
        <v>577</v>
      </c>
      <c r="K120" s="153" t="s">
        <v>22</v>
      </c>
    </row>
    <row r="121" spans="1:11" ht="12.6" customHeight="1">
      <c r="A121" s="96" t="s">
        <v>11</v>
      </c>
      <c r="B121" s="144">
        <v>0.4</v>
      </c>
      <c r="C121" s="144">
        <v>0</v>
      </c>
      <c r="D121" s="144">
        <v>24.6</v>
      </c>
      <c r="E121" s="144">
        <v>3.4826079082900002E-2</v>
      </c>
      <c r="F121" s="144">
        <v>0.29256999999999994</v>
      </c>
      <c r="G121" s="144">
        <v>0</v>
      </c>
      <c r="H121" s="144">
        <v>25.2</v>
      </c>
      <c r="I121" s="144">
        <v>0</v>
      </c>
      <c r="J121" s="202"/>
      <c r="K121" s="144">
        <f t="shared" ref="K121:K134" si="8">SUM(B121:I121)</f>
        <v>50.527396079082905</v>
      </c>
    </row>
    <row r="122" spans="1:11" ht="12.6" customHeight="1">
      <c r="A122" s="96" t="s">
        <v>12</v>
      </c>
      <c r="B122" s="144">
        <v>6.5</v>
      </c>
      <c r="C122" s="144">
        <v>1.1000000000000001</v>
      </c>
      <c r="D122" s="144">
        <v>6</v>
      </c>
      <c r="E122" s="144">
        <v>0.22403048475521198</v>
      </c>
      <c r="F122" s="144">
        <v>21.1</v>
      </c>
      <c r="G122" s="144">
        <v>0.8</v>
      </c>
      <c r="H122" s="144">
        <v>140.6</v>
      </c>
      <c r="I122" s="144">
        <v>0</v>
      </c>
      <c r="J122" s="203"/>
      <c r="K122" s="144">
        <f t="shared" si="8"/>
        <v>176.32403048475521</v>
      </c>
    </row>
    <row r="123" spans="1:11" ht="12.6" customHeight="1">
      <c r="A123" s="96" t="s">
        <v>13</v>
      </c>
      <c r="B123" s="144">
        <v>29.2</v>
      </c>
      <c r="C123" s="144">
        <v>0</v>
      </c>
      <c r="D123" s="144">
        <v>5.3</v>
      </c>
      <c r="E123" s="144">
        <v>2.0132849154517474</v>
      </c>
      <c r="F123" s="144">
        <v>5.8</v>
      </c>
      <c r="G123" s="144">
        <v>1.7</v>
      </c>
      <c r="H123" s="144">
        <v>31.33364544955155</v>
      </c>
      <c r="I123" s="144">
        <v>0</v>
      </c>
      <c r="J123" s="203"/>
      <c r="K123" s="144">
        <f t="shared" si="8"/>
        <v>75.346930365003303</v>
      </c>
    </row>
    <row r="124" spans="1:11" ht="12.6" customHeight="1">
      <c r="A124" s="96" t="s">
        <v>14</v>
      </c>
      <c r="B124" s="144">
        <v>0.1</v>
      </c>
      <c r="C124" s="144">
        <v>0.5</v>
      </c>
      <c r="D124" s="144">
        <v>4</v>
      </c>
      <c r="E124" s="144">
        <v>0</v>
      </c>
      <c r="F124" s="144">
        <v>0</v>
      </c>
      <c r="G124" s="144">
        <v>0.4748</v>
      </c>
      <c r="H124" s="144">
        <v>0.21094723267474999</v>
      </c>
      <c r="I124" s="144">
        <v>4.1635583745</v>
      </c>
      <c r="J124" s="203"/>
      <c r="K124" s="144">
        <f t="shared" si="8"/>
        <v>9.4493056071747503</v>
      </c>
    </row>
    <row r="125" spans="1:11" ht="12.6" customHeight="1">
      <c r="A125" s="96" t="s">
        <v>15</v>
      </c>
      <c r="B125" s="144">
        <v>0.5</v>
      </c>
      <c r="C125" s="144">
        <v>0</v>
      </c>
      <c r="D125" s="144">
        <v>0</v>
      </c>
      <c r="E125" s="144">
        <v>0.2</v>
      </c>
      <c r="F125" s="144">
        <v>0</v>
      </c>
      <c r="G125" s="144">
        <v>0</v>
      </c>
      <c r="H125" s="144">
        <v>19.5</v>
      </c>
      <c r="I125" s="144">
        <v>2.8460121174352833</v>
      </c>
      <c r="J125" s="203"/>
      <c r="K125" s="144">
        <f t="shared" si="8"/>
        <v>23.046012117435282</v>
      </c>
    </row>
    <row r="126" spans="1:11" ht="12.6" customHeight="1">
      <c r="A126" s="96" t="s">
        <v>16</v>
      </c>
      <c r="B126" s="144">
        <v>11.2</v>
      </c>
      <c r="C126" s="144">
        <v>0</v>
      </c>
      <c r="D126" s="144">
        <v>42.4</v>
      </c>
      <c r="E126" s="144">
        <v>1.2137327192881577</v>
      </c>
      <c r="F126" s="144">
        <v>39.299999999999997</v>
      </c>
      <c r="G126" s="144">
        <v>5.3</v>
      </c>
      <c r="H126" s="144">
        <v>33.6</v>
      </c>
      <c r="I126" s="144">
        <v>10.118760210948501</v>
      </c>
      <c r="J126" s="203"/>
      <c r="K126" s="144">
        <f t="shared" si="8"/>
        <v>143.13249293023665</v>
      </c>
    </row>
    <row r="127" spans="1:11" ht="12.6" customHeight="1">
      <c r="A127" s="96" t="s">
        <v>17</v>
      </c>
      <c r="B127" s="144">
        <v>1.9</v>
      </c>
      <c r="C127" s="144">
        <v>0</v>
      </c>
      <c r="D127" s="144">
        <v>25.3</v>
      </c>
      <c r="E127" s="144">
        <v>0.73282085916073114</v>
      </c>
      <c r="F127" s="144">
        <v>0.44320646999999996</v>
      </c>
      <c r="G127" s="144">
        <v>0</v>
      </c>
      <c r="H127" s="144">
        <v>82.1</v>
      </c>
      <c r="I127" s="144">
        <v>0</v>
      </c>
      <c r="J127" s="203"/>
      <c r="K127" s="144">
        <f t="shared" si="8"/>
        <v>110.47602732916073</v>
      </c>
    </row>
    <row r="128" spans="1:11" ht="12.6" customHeight="1">
      <c r="A128" s="96" t="s">
        <v>571</v>
      </c>
      <c r="B128" s="144">
        <v>0</v>
      </c>
      <c r="C128" s="144">
        <v>0</v>
      </c>
      <c r="D128" s="144">
        <v>0.1</v>
      </c>
      <c r="E128" s="144">
        <v>2.1</v>
      </c>
      <c r="F128" s="144">
        <v>0</v>
      </c>
      <c r="G128" s="144">
        <v>0</v>
      </c>
      <c r="H128" s="144">
        <v>3.1996213734202001</v>
      </c>
      <c r="I128" s="144">
        <v>0</v>
      </c>
      <c r="J128" s="203"/>
      <c r="K128" s="144">
        <f t="shared" si="8"/>
        <v>5.3996213734202003</v>
      </c>
    </row>
    <row r="129" spans="1:11" ht="12.6" customHeight="1">
      <c r="A129" s="96" t="s">
        <v>18</v>
      </c>
      <c r="B129" s="144">
        <v>2</v>
      </c>
      <c r="C129" s="144">
        <v>0.71382524307900008</v>
      </c>
      <c r="D129" s="144">
        <v>0</v>
      </c>
      <c r="E129" s="144">
        <v>0</v>
      </c>
      <c r="F129" s="144">
        <v>0.7</v>
      </c>
      <c r="G129" s="144">
        <v>0</v>
      </c>
      <c r="H129" s="144">
        <v>5.5</v>
      </c>
      <c r="I129" s="144">
        <v>1</v>
      </c>
      <c r="J129" s="203"/>
      <c r="K129" s="144">
        <f t="shared" si="8"/>
        <v>9.9138252430789997</v>
      </c>
    </row>
    <row r="130" spans="1:11" ht="12.6" customHeight="1">
      <c r="A130" s="96" t="s">
        <v>19</v>
      </c>
      <c r="B130" s="144">
        <v>10.4</v>
      </c>
      <c r="C130" s="144">
        <v>0.88099353287999993</v>
      </c>
      <c r="D130" s="144">
        <v>9.5</v>
      </c>
      <c r="E130" s="144">
        <v>0.10218945536691479</v>
      </c>
      <c r="F130" s="144">
        <v>9.9</v>
      </c>
      <c r="G130" s="144">
        <v>3.1</v>
      </c>
      <c r="H130" s="144">
        <v>81.099999999999994</v>
      </c>
      <c r="I130" s="144">
        <v>1</v>
      </c>
      <c r="J130" s="203"/>
      <c r="K130" s="144">
        <f t="shared" si="8"/>
        <v>115.98318298824691</v>
      </c>
    </row>
    <row r="131" spans="1:11" ht="12.6" customHeight="1">
      <c r="A131" s="96" t="s">
        <v>564</v>
      </c>
      <c r="B131" s="144">
        <v>1.5</v>
      </c>
      <c r="C131" s="144">
        <v>0.58265999999999996</v>
      </c>
      <c r="D131" s="144">
        <v>0</v>
      </c>
      <c r="E131" s="144">
        <v>1.0798897224168901E-4</v>
      </c>
      <c r="F131" s="144">
        <v>0</v>
      </c>
      <c r="G131" s="144">
        <v>0</v>
      </c>
      <c r="H131" s="144">
        <v>0</v>
      </c>
      <c r="I131" s="144">
        <v>0</v>
      </c>
      <c r="J131" s="203"/>
      <c r="K131" s="144">
        <f t="shared" si="8"/>
        <v>2.0827679889722415</v>
      </c>
    </row>
    <row r="132" spans="1:11" ht="12.6" customHeight="1">
      <c r="A132" s="96" t="s">
        <v>20</v>
      </c>
      <c r="B132" s="144">
        <v>7.2</v>
      </c>
      <c r="C132" s="144">
        <v>21.9</v>
      </c>
      <c r="D132" s="144">
        <v>0.32595156168052258</v>
      </c>
      <c r="E132" s="144">
        <v>25.8</v>
      </c>
      <c r="F132" s="144">
        <v>9.1</v>
      </c>
      <c r="G132" s="144">
        <v>0.6</v>
      </c>
      <c r="H132" s="144">
        <v>131.80000000000001</v>
      </c>
      <c r="I132" s="144">
        <v>27.8</v>
      </c>
      <c r="J132" s="203"/>
      <c r="K132" s="144">
        <f t="shared" si="8"/>
        <v>224.52595156168053</v>
      </c>
    </row>
    <row r="133" spans="1:11" ht="12.6" customHeight="1">
      <c r="A133" s="96" t="s">
        <v>60</v>
      </c>
      <c r="B133" s="144">
        <v>3.3</v>
      </c>
      <c r="C133" s="144">
        <v>0</v>
      </c>
      <c r="D133" s="144">
        <v>0</v>
      </c>
      <c r="E133" s="144">
        <v>0.62653266973657162</v>
      </c>
      <c r="F133" s="144">
        <v>1</v>
      </c>
      <c r="G133" s="144">
        <v>0</v>
      </c>
      <c r="H133" s="144">
        <v>0.21622146156445257</v>
      </c>
      <c r="I133" s="144">
        <v>0.90617684000000009</v>
      </c>
      <c r="J133" s="203"/>
      <c r="K133" s="144">
        <f t="shared" si="8"/>
        <v>6.048930971301024</v>
      </c>
    </row>
    <row r="134" spans="1:11" ht="12.6" customHeight="1">
      <c r="A134" s="96" t="s">
        <v>579</v>
      </c>
      <c r="B134" s="144">
        <v>65.599999999999994</v>
      </c>
      <c r="C134" s="144">
        <v>3.1274916638099088</v>
      </c>
      <c r="D134" s="144">
        <v>117.1</v>
      </c>
      <c r="E134" s="144">
        <v>7.1</v>
      </c>
      <c r="F134" s="144">
        <v>78.5</v>
      </c>
      <c r="G134" s="144">
        <v>11.3</v>
      </c>
      <c r="H134" s="144">
        <v>422.3</v>
      </c>
      <c r="I134" s="144">
        <v>20</v>
      </c>
      <c r="J134" s="203"/>
      <c r="K134" s="144">
        <f t="shared" si="8"/>
        <v>725.02749166380988</v>
      </c>
    </row>
    <row r="135" spans="1:11" ht="12.6" customHeight="1">
      <c r="A135" s="154" t="s">
        <v>1313</v>
      </c>
      <c r="B135" s="155">
        <v>65.7</v>
      </c>
      <c r="C135" s="155">
        <v>3.1</v>
      </c>
      <c r="D135" s="155">
        <f t="shared" ref="D135:I135" si="9">D136-D132-D131</f>
        <v>117.19999999999999</v>
      </c>
      <c r="E135" s="155">
        <f t="shared" si="9"/>
        <v>7.2474171828422351</v>
      </c>
      <c r="F135" s="155">
        <f t="shared" si="9"/>
        <v>78.535776470000016</v>
      </c>
      <c r="G135" s="155">
        <f t="shared" si="9"/>
        <v>11.374799999999999</v>
      </c>
      <c r="H135" s="155">
        <v>422.5</v>
      </c>
      <c r="I135" s="155">
        <f t="shared" si="9"/>
        <v>20.034507542883784</v>
      </c>
      <c r="J135" s="204"/>
      <c r="K135" s="155">
        <f>SUM(K121:K133)-K132-K131</f>
        <v>725.647755488896</v>
      </c>
    </row>
    <row r="136" spans="1:11" ht="12.6" customHeight="1">
      <c r="A136" s="154" t="s">
        <v>44</v>
      </c>
      <c r="B136" s="155">
        <v>74.3</v>
      </c>
      <c r="C136" s="155">
        <f t="shared" ref="C136:I136" si="10">SUM(C121:C133)</f>
        <v>25.677478775958999</v>
      </c>
      <c r="D136" s="155">
        <f t="shared" si="10"/>
        <v>117.52595156168051</v>
      </c>
      <c r="E136" s="155">
        <f t="shared" si="10"/>
        <v>33.047525171814478</v>
      </c>
      <c r="F136" s="155">
        <f t="shared" si="10"/>
        <v>87.63577647000001</v>
      </c>
      <c r="G136" s="155">
        <f t="shared" si="10"/>
        <v>11.974799999999998</v>
      </c>
      <c r="H136" s="155">
        <v>554.29999999999995</v>
      </c>
      <c r="I136" s="155">
        <f t="shared" si="10"/>
        <v>47.834507542883784</v>
      </c>
      <c r="J136" s="155">
        <v>228.8</v>
      </c>
      <c r="K136" s="155">
        <v>1180.5999999999999</v>
      </c>
    </row>
    <row r="137" spans="1:11" ht="12.6" customHeight="1">
      <c r="A137" s="88"/>
      <c r="B137" s="115"/>
      <c r="C137" s="115"/>
      <c r="D137" s="115"/>
      <c r="E137" s="115"/>
      <c r="F137" s="115"/>
      <c r="G137" s="115"/>
      <c r="H137" s="88"/>
      <c r="I137" s="88"/>
      <c r="J137" s="88"/>
      <c r="K137" s="88"/>
    </row>
    <row r="138" spans="1:11" ht="12.6" customHeight="1">
      <c r="A138" s="153" t="s">
        <v>1727</v>
      </c>
      <c r="B138" s="153" t="s">
        <v>24</v>
      </c>
      <c r="C138" s="153" t="s">
        <v>566</v>
      </c>
      <c r="D138" s="153" t="s">
        <v>567</v>
      </c>
      <c r="E138" s="153" t="s">
        <v>8</v>
      </c>
      <c r="F138" s="153" t="s">
        <v>568</v>
      </c>
      <c r="G138" s="153" t="s">
        <v>569</v>
      </c>
      <c r="H138" s="153" t="s">
        <v>25</v>
      </c>
      <c r="I138" s="153" t="s">
        <v>92</v>
      </c>
      <c r="J138" s="153" t="s">
        <v>577</v>
      </c>
      <c r="K138" s="153" t="s">
        <v>22</v>
      </c>
    </row>
    <row r="139" spans="1:11" ht="12.6" customHeight="1">
      <c r="A139" s="96" t="s">
        <v>11</v>
      </c>
      <c r="B139" s="144">
        <v>0.47690280000000002</v>
      </c>
      <c r="C139" s="144">
        <v>0</v>
      </c>
      <c r="D139" s="144">
        <v>24.819162283200004</v>
      </c>
      <c r="E139" s="144">
        <v>3.4826079082900002E-2</v>
      </c>
      <c r="F139" s="144">
        <v>0.29256999999999994</v>
      </c>
      <c r="G139" s="144">
        <v>0</v>
      </c>
      <c r="H139" s="144">
        <v>25.27314368</v>
      </c>
      <c r="I139" s="144">
        <v>0</v>
      </c>
      <c r="J139" s="202"/>
      <c r="K139" s="144">
        <v>50.896604842282912</v>
      </c>
    </row>
    <row r="140" spans="1:11" ht="12.6" customHeight="1">
      <c r="A140" s="96" t="s">
        <v>12</v>
      </c>
      <c r="B140" s="144">
        <v>6.33153251304</v>
      </c>
      <c r="C140" s="144">
        <v>1.0527755686200289</v>
      </c>
      <c r="D140" s="144">
        <v>6.0034000000000001</v>
      </c>
      <c r="E140" s="144">
        <v>0.22403048475521198</v>
      </c>
      <c r="F140" s="144">
        <v>21.891020320058253</v>
      </c>
      <c r="G140" s="144">
        <v>0.32756269999999993</v>
      </c>
      <c r="H140" s="144">
        <v>139.76076341594032</v>
      </c>
      <c r="I140" s="144">
        <v>0</v>
      </c>
      <c r="J140" s="203"/>
      <c r="K140" s="144">
        <v>175.59108500241379</v>
      </c>
    </row>
    <row r="141" spans="1:11" ht="12.6" customHeight="1">
      <c r="A141" s="96" t="s">
        <v>13</v>
      </c>
      <c r="B141" s="144">
        <v>29.848708323786582</v>
      </c>
      <c r="C141" s="144">
        <v>0</v>
      </c>
      <c r="D141" s="144">
        <v>5.2827569999999993</v>
      </c>
      <c r="E141" s="144">
        <v>2.0132849154517474</v>
      </c>
      <c r="F141" s="144">
        <v>6.3493607262740799</v>
      </c>
      <c r="G141" s="144">
        <v>1.41322743721106</v>
      </c>
      <c r="H141" s="144">
        <v>31.33364544955155</v>
      </c>
      <c r="I141" s="144">
        <v>0</v>
      </c>
      <c r="J141" s="203"/>
      <c r="K141" s="144">
        <v>76.240983852275008</v>
      </c>
    </row>
    <row r="142" spans="1:11" ht="12.6" customHeight="1">
      <c r="A142" s="96" t="s">
        <v>14</v>
      </c>
      <c r="B142" s="144">
        <v>0.1271226174093</v>
      </c>
      <c r="C142" s="144">
        <v>0.47989731923087997</v>
      </c>
      <c r="D142" s="144">
        <v>3.9723253344250002</v>
      </c>
      <c r="E142" s="144">
        <v>0</v>
      </c>
      <c r="F142" s="144">
        <v>0</v>
      </c>
      <c r="G142" s="144">
        <v>0.4748</v>
      </c>
      <c r="H142" s="144">
        <v>0.21094723267474999</v>
      </c>
      <c r="I142" s="144">
        <v>4.1635583745</v>
      </c>
      <c r="J142" s="203"/>
      <c r="K142" s="144">
        <v>9.4286508782399316</v>
      </c>
    </row>
    <row r="143" spans="1:11" ht="12.6" customHeight="1">
      <c r="A143" s="96" t="s">
        <v>15</v>
      </c>
      <c r="B143" s="144">
        <v>0.30325644516172395</v>
      </c>
      <c r="C143" s="144">
        <v>0</v>
      </c>
      <c r="D143" s="144">
        <v>0</v>
      </c>
      <c r="E143" s="144">
        <v>0.25293365699429143</v>
      </c>
      <c r="F143" s="144">
        <v>0</v>
      </c>
      <c r="G143" s="144">
        <v>0</v>
      </c>
      <c r="H143" s="144">
        <v>19.661785155650353</v>
      </c>
      <c r="I143" s="144">
        <v>2.8460121174352833</v>
      </c>
      <c r="J143" s="203"/>
      <c r="K143" s="144">
        <v>23.063987375241645</v>
      </c>
    </row>
    <row r="144" spans="1:11" ht="12.6" customHeight="1">
      <c r="A144" s="96" t="s">
        <v>16</v>
      </c>
      <c r="B144" s="144">
        <v>9.5250118870954434</v>
      </c>
      <c r="C144" s="144">
        <v>0</v>
      </c>
      <c r="D144" s="144">
        <v>42.791706543475073</v>
      </c>
      <c r="E144" s="144">
        <v>1.2137327192881577</v>
      </c>
      <c r="F144" s="144">
        <v>36.176254449870747</v>
      </c>
      <c r="G144" s="144">
        <v>5.542889181691379</v>
      </c>
      <c r="H144" s="144">
        <v>34.040516608276448</v>
      </c>
      <c r="I144" s="144">
        <v>10.118760210948501</v>
      </c>
      <c r="J144" s="203"/>
      <c r="K144" s="144">
        <v>139.40887160064577</v>
      </c>
    </row>
    <row r="145" spans="1:11" ht="12.6" customHeight="1">
      <c r="A145" s="96" t="s">
        <v>17</v>
      </c>
      <c r="B145" s="144">
        <v>2.0177076083499998</v>
      </c>
      <c r="C145" s="144">
        <v>0</v>
      </c>
      <c r="D145" s="144">
        <v>25.248000000000001</v>
      </c>
      <c r="E145" s="144">
        <v>0.73282085916073114</v>
      </c>
      <c r="F145" s="144">
        <v>0.44320646999999996</v>
      </c>
      <c r="G145" s="144">
        <v>0</v>
      </c>
      <c r="H145" s="144">
        <v>93.748904402485437</v>
      </c>
      <c r="I145" s="144">
        <v>0</v>
      </c>
      <c r="J145" s="203"/>
      <c r="K145" s="144">
        <v>122.19063933999617</v>
      </c>
    </row>
    <row r="146" spans="1:11" ht="12.6" customHeight="1">
      <c r="A146" s="96" t="s">
        <v>571</v>
      </c>
      <c r="B146" s="144">
        <v>0</v>
      </c>
      <c r="C146" s="144">
        <v>0</v>
      </c>
      <c r="D146" s="144">
        <v>7.6014993159999988E-2</v>
      </c>
      <c r="E146" s="144">
        <v>2.2627640296492579</v>
      </c>
      <c r="F146" s="144">
        <v>0</v>
      </c>
      <c r="G146" s="144">
        <v>0</v>
      </c>
      <c r="H146" s="144">
        <v>3.1996213734202001</v>
      </c>
      <c r="I146" s="144">
        <v>0</v>
      </c>
      <c r="J146" s="203"/>
      <c r="K146" s="144">
        <v>5.5384003962294583</v>
      </c>
    </row>
    <row r="147" spans="1:11" ht="12.6" customHeight="1">
      <c r="A147" s="96" t="s">
        <v>18</v>
      </c>
      <c r="B147" s="144">
        <v>1.7859591539940403</v>
      </c>
      <c r="C147" s="144">
        <v>0.71382524307900008</v>
      </c>
      <c r="D147" s="144">
        <v>0</v>
      </c>
      <c r="E147" s="144">
        <v>0</v>
      </c>
      <c r="F147" s="144">
        <v>0.75988580936799999</v>
      </c>
      <c r="G147" s="144">
        <v>0</v>
      </c>
      <c r="H147" s="144">
        <v>5.7921873180027195</v>
      </c>
      <c r="I147" s="144">
        <v>0.12557442980539998</v>
      </c>
      <c r="J147" s="203"/>
      <c r="K147" s="144">
        <v>9.17743195424916</v>
      </c>
    </row>
    <row r="148" spans="1:11" ht="12.6" customHeight="1">
      <c r="A148" s="96" t="s">
        <v>19</v>
      </c>
      <c r="B148" s="144">
        <v>11.079685807970732</v>
      </c>
      <c r="C148" s="144">
        <v>0.88099353287999993</v>
      </c>
      <c r="D148" s="144">
        <v>7.0419899260582799</v>
      </c>
      <c r="E148" s="144">
        <v>0.10218945536691479</v>
      </c>
      <c r="F148" s="144">
        <v>10.64378164961775</v>
      </c>
      <c r="G148" s="144">
        <v>0.85668546609000007</v>
      </c>
      <c r="H148" s="144">
        <v>83.504225883162619</v>
      </c>
      <c r="I148" s="144">
        <v>1.052262888115</v>
      </c>
      <c r="J148" s="203"/>
      <c r="K148" s="144">
        <v>115.16181460926128</v>
      </c>
    </row>
    <row r="149" spans="1:11" ht="12.6" customHeight="1">
      <c r="A149" s="96" t="s">
        <v>564</v>
      </c>
      <c r="B149" s="144">
        <v>2.0543610622209987</v>
      </c>
      <c r="C149" s="144">
        <v>0.58265999999999996</v>
      </c>
      <c r="D149" s="144">
        <v>0</v>
      </c>
      <c r="E149" s="144">
        <v>1.0798897224168901E-4</v>
      </c>
      <c r="F149" s="144">
        <v>0</v>
      </c>
      <c r="G149" s="144">
        <v>0</v>
      </c>
      <c r="H149" s="144">
        <v>0</v>
      </c>
      <c r="I149" s="144">
        <v>0</v>
      </c>
      <c r="J149" s="203"/>
      <c r="K149" s="144">
        <v>2.6371290511932406</v>
      </c>
    </row>
    <row r="150" spans="1:11" ht="12.6" customHeight="1">
      <c r="A150" s="96" t="s">
        <v>20</v>
      </c>
      <c r="B150" s="144">
        <v>12.096110030872707</v>
      </c>
      <c r="C150" s="144">
        <v>21.821132138246277</v>
      </c>
      <c r="D150" s="144">
        <v>0.32595156168052258</v>
      </c>
      <c r="E150" s="144">
        <v>25.101185801359645</v>
      </c>
      <c r="F150" s="144">
        <v>5.5588115647710552</v>
      </c>
      <c r="G150" s="144">
        <v>0.67795785254644558</v>
      </c>
      <c r="H150" s="144">
        <v>129.29560114621665</v>
      </c>
      <c r="I150" s="144">
        <v>27.861395133267003</v>
      </c>
      <c r="J150" s="203"/>
      <c r="K150" s="144">
        <v>222.73814522896029</v>
      </c>
    </row>
    <row r="151" spans="1:11" ht="12.6" customHeight="1">
      <c r="A151" s="96" t="s">
        <v>60</v>
      </c>
      <c r="B151" s="144">
        <v>2.7079279123745001</v>
      </c>
      <c r="C151" s="144">
        <v>0</v>
      </c>
      <c r="D151" s="144">
        <v>0</v>
      </c>
      <c r="E151" s="144">
        <v>0.62653266973657162</v>
      </c>
      <c r="F151" s="144">
        <v>0.94965999999999995</v>
      </c>
      <c r="G151" s="144">
        <v>0</v>
      </c>
      <c r="H151" s="144">
        <v>0.21622146156445257</v>
      </c>
      <c r="I151" s="144">
        <v>0.90617684000000009</v>
      </c>
      <c r="J151" s="203"/>
      <c r="K151" s="144">
        <v>5.406518883675524</v>
      </c>
    </row>
    <row r="152" spans="1:11" ht="12.6" customHeight="1">
      <c r="A152" s="96" t="s">
        <v>579</v>
      </c>
      <c r="B152" s="144">
        <v>64.203815069182326</v>
      </c>
      <c r="C152" s="144">
        <v>3.1274916638099088</v>
      </c>
      <c r="D152" s="144">
        <v>115.23535608031834</v>
      </c>
      <c r="E152" s="144">
        <v>7.3302452858633815</v>
      </c>
      <c r="F152" s="144">
        <v>77.50573942518885</v>
      </c>
      <c r="G152" s="144">
        <v>8.6151647849924391</v>
      </c>
      <c r="H152" s="144">
        <v>436.5257405191644</v>
      </c>
      <c r="I152" s="144">
        <v>19.212344860804187</v>
      </c>
      <c r="J152" s="203"/>
      <c r="K152" s="144">
        <v>731.755897689324</v>
      </c>
    </row>
    <row r="153" spans="1:11" ht="12.6" customHeight="1">
      <c r="A153" s="154" t="s">
        <v>1313</v>
      </c>
      <c r="B153" s="155">
        <f>B154-B150-B149</f>
        <v>64.203815069182312</v>
      </c>
      <c r="C153" s="155">
        <f t="shared" ref="C153:I153" si="11">C154-C150-C149</f>
        <v>3.1274916638099102</v>
      </c>
      <c r="D153" s="155">
        <f t="shared" si="11"/>
        <v>115.23535608031835</v>
      </c>
      <c r="E153" s="155">
        <f t="shared" si="11"/>
        <v>7.4631148694857865</v>
      </c>
      <c r="F153" s="155">
        <f t="shared" si="11"/>
        <v>77.505739425188835</v>
      </c>
      <c r="G153" s="155">
        <f t="shared" si="11"/>
        <v>8.6151647849924391</v>
      </c>
      <c r="H153" s="155">
        <f t="shared" si="11"/>
        <v>436.74196198072889</v>
      </c>
      <c r="I153" s="155">
        <f t="shared" si="11"/>
        <v>19.212344860804187</v>
      </c>
      <c r="J153" s="204"/>
      <c r="K153" s="155">
        <f>SUM(K139:K151)-K150-K149</f>
        <v>732.1049887345107</v>
      </c>
    </row>
    <row r="154" spans="1:11" ht="12.6" customHeight="1">
      <c r="A154" s="154" t="s">
        <v>44</v>
      </c>
      <c r="B154" s="155">
        <f>SUM(B139:B151)</f>
        <v>78.354286162276026</v>
      </c>
      <c r="C154" s="155">
        <f t="shared" ref="C154:I154" si="12">SUM(C139:C151)</f>
        <v>25.531283802056187</v>
      </c>
      <c r="D154" s="155">
        <f t="shared" si="12"/>
        <v>115.56130764199888</v>
      </c>
      <c r="E154" s="155">
        <f t="shared" si="12"/>
        <v>32.564408659817673</v>
      </c>
      <c r="F154" s="155">
        <f t="shared" si="12"/>
        <v>83.064550989959884</v>
      </c>
      <c r="G154" s="155">
        <f t="shared" si="12"/>
        <v>9.2931226375388842</v>
      </c>
      <c r="H154" s="155">
        <f t="shared" si="12"/>
        <v>566.03756312694554</v>
      </c>
      <c r="I154" s="155">
        <f t="shared" si="12"/>
        <v>47.07373999407119</v>
      </c>
      <c r="J154" s="155">
        <v>223.65167836200001</v>
      </c>
      <c r="K154" s="155">
        <f>SUM(B154:J154)</f>
        <v>1181.1319413766644</v>
      </c>
    </row>
    <row r="155" spans="1:11" ht="12.6" customHeight="1">
      <c r="A155" s="156"/>
      <c r="B155" s="115"/>
      <c r="C155" s="115"/>
      <c r="D155" s="115"/>
      <c r="E155" s="115"/>
      <c r="F155" s="115"/>
      <c r="G155" s="115"/>
      <c r="H155" s="88"/>
      <c r="I155" s="88"/>
      <c r="J155" s="88"/>
      <c r="K155" s="88"/>
    </row>
    <row r="156" spans="1:11" ht="12.6" customHeight="1">
      <c r="A156" s="153" t="s">
        <v>1661</v>
      </c>
      <c r="B156" s="153" t="s">
        <v>24</v>
      </c>
      <c r="C156" s="153" t="s">
        <v>566</v>
      </c>
      <c r="D156" s="153" t="s">
        <v>567</v>
      </c>
      <c r="E156" s="153" t="s">
        <v>8</v>
      </c>
      <c r="F156" s="153" t="s">
        <v>568</v>
      </c>
      <c r="G156" s="153" t="s">
        <v>569</v>
      </c>
      <c r="H156" s="153" t="s">
        <v>25</v>
      </c>
      <c r="I156" s="153" t="s">
        <v>92</v>
      </c>
      <c r="J156" s="153" t="s">
        <v>577</v>
      </c>
      <c r="K156" s="153" t="s">
        <v>22</v>
      </c>
    </row>
    <row r="157" spans="1:11" ht="12.6" customHeight="1">
      <c r="A157" s="96" t="s">
        <v>11</v>
      </c>
      <c r="B157" s="144">
        <v>0.52473895999999987</v>
      </c>
      <c r="C157" s="144">
        <v>0</v>
      </c>
      <c r="D157" s="144">
        <v>25.053486163200002</v>
      </c>
      <c r="E157" s="144">
        <v>3.6589623142450005E-2</v>
      </c>
      <c r="F157" s="144">
        <v>0.29256999999999994</v>
      </c>
      <c r="G157" s="144">
        <v>0</v>
      </c>
      <c r="H157" s="144">
        <v>25.387230519999996</v>
      </c>
      <c r="I157" s="144">
        <v>0</v>
      </c>
      <c r="J157" s="202"/>
      <c r="K157" s="144">
        <v>46.569361359250699</v>
      </c>
    </row>
    <row r="158" spans="1:11" ht="12.6" customHeight="1">
      <c r="A158" s="96" t="s">
        <v>12</v>
      </c>
      <c r="B158" s="144">
        <v>6.0231045633499996</v>
      </c>
      <c r="C158" s="144">
        <v>1.045812552177469</v>
      </c>
      <c r="D158" s="144">
        <v>6.8033999999999999</v>
      </c>
      <c r="E158" s="144">
        <v>0.22467770997471664</v>
      </c>
      <c r="F158" s="144">
        <v>20.482016080820653</v>
      </c>
      <c r="G158" s="144">
        <v>0.38055935000000002</v>
      </c>
      <c r="H158" s="144">
        <f>84.3721947936903+49.48085</f>
        <v>133.85304479369029</v>
      </c>
      <c r="I158" s="144">
        <v>0</v>
      </c>
      <c r="J158" s="203"/>
      <c r="K158" s="144">
        <f>SUM(B158:I158)</f>
        <v>168.81261505001311</v>
      </c>
    </row>
    <row r="159" spans="1:11" ht="12.6" customHeight="1">
      <c r="A159" s="96" t="s">
        <v>13</v>
      </c>
      <c r="B159" s="144">
        <v>32.028000096638955</v>
      </c>
      <c r="C159" s="144">
        <v>0</v>
      </c>
      <c r="D159" s="144">
        <v>6.3891577994174478</v>
      </c>
      <c r="E159" s="144">
        <v>2.0382478695011881</v>
      </c>
      <c r="F159" s="144">
        <v>5.8455873899037201</v>
      </c>
      <c r="G159" s="144">
        <v>1.5617364687436002</v>
      </c>
      <c r="H159" s="144">
        <v>31.339925133675912</v>
      </c>
      <c r="I159" s="144">
        <v>7.1918335360000016E-2</v>
      </c>
      <c r="J159" s="203"/>
      <c r="K159" s="144">
        <v>80.359911548560092</v>
      </c>
    </row>
    <row r="160" spans="1:11" ht="12.6" customHeight="1">
      <c r="A160" s="96" t="s">
        <v>14</v>
      </c>
      <c r="B160" s="144">
        <v>0.13693584026959998</v>
      </c>
      <c r="C160" s="144">
        <v>0.47989731923087997</v>
      </c>
      <c r="D160" s="144">
        <v>3.9723253344250002</v>
      </c>
      <c r="E160" s="144">
        <v>0</v>
      </c>
      <c r="F160" s="144">
        <v>0</v>
      </c>
      <c r="G160" s="144">
        <v>0.4748</v>
      </c>
      <c r="H160" s="144">
        <v>0.228557716533725</v>
      </c>
      <c r="I160" s="144">
        <v>4.1635583745</v>
      </c>
      <c r="J160" s="203"/>
      <c r="K160" s="144">
        <v>9.466236499132906</v>
      </c>
    </row>
    <row r="161" spans="1:11" ht="12.6" customHeight="1">
      <c r="A161" s="96" t="s">
        <v>15</v>
      </c>
      <c r="B161" s="144">
        <v>8.3650545311812E-2</v>
      </c>
      <c r="C161" s="144">
        <v>0</v>
      </c>
      <c r="D161" s="144">
        <v>0</v>
      </c>
      <c r="E161" s="144">
        <v>0.27073442499778921</v>
      </c>
      <c r="F161" s="144">
        <v>0</v>
      </c>
      <c r="G161" s="144">
        <v>0</v>
      </c>
      <c r="H161" s="144">
        <v>19.870194278414541</v>
      </c>
      <c r="I161" s="144">
        <v>3.0848380326814837</v>
      </c>
      <c r="J161" s="203"/>
      <c r="K161" s="144">
        <v>26.617289879712612</v>
      </c>
    </row>
    <row r="162" spans="1:11" ht="12.6" customHeight="1">
      <c r="A162" s="96" t="s">
        <v>16</v>
      </c>
      <c r="B162" s="144">
        <v>8.4624415688206387</v>
      </c>
      <c r="C162" s="144">
        <v>0</v>
      </c>
      <c r="D162" s="144">
        <v>43.558693737560915</v>
      </c>
      <c r="E162" s="144">
        <v>1.2296229789740705</v>
      </c>
      <c r="F162" s="144">
        <v>37.086919099360294</v>
      </c>
      <c r="G162" s="144">
        <v>5.9001223734895998</v>
      </c>
      <c r="H162" s="144">
        <v>29.463810831009102</v>
      </c>
      <c r="I162" s="144">
        <v>10.183840595563762</v>
      </c>
      <c r="J162" s="203"/>
      <c r="K162" s="144">
        <v>141.37815885101318</v>
      </c>
    </row>
    <row r="163" spans="1:11" ht="12.6" customHeight="1">
      <c r="A163" s="96" t="s">
        <v>17</v>
      </c>
      <c r="B163" s="144">
        <v>1.532139106</v>
      </c>
      <c r="C163" s="144">
        <v>0</v>
      </c>
      <c r="D163" s="144">
        <v>25.248000000000001</v>
      </c>
      <c r="E163" s="144">
        <v>1.3760798071838156</v>
      </c>
      <c r="F163" s="144">
        <v>0.45300547799999996</v>
      </c>
      <c r="G163" s="144">
        <v>0</v>
      </c>
      <c r="H163" s="144">
        <v>93.903936296663645</v>
      </c>
      <c r="I163" s="144">
        <v>0</v>
      </c>
      <c r="J163" s="203"/>
      <c r="K163" s="144">
        <v>120.19541674653884</v>
      </c>
    </row>
    <row r="164" spans="1:11" ht="12.6" customHeight="1">
      <c r="A164" s="96" t="s">
        <v>571</v>
      </c>
      <c r="B164" s="144">
        <v>0</v>
      </c>
      <c r="C164" s="144">
        <v>0</v>
      </c>
      <c r="D164" s="144">
        <v>7.6014993159999988E-2</v>
      </c>
      <c r="E164" s="144">
        <v>2.3504343120435083</v>
      </c>
      <c r="F164" s="144">
        <v>0</v>
      </c>
      <c r="G164" s="144">
        <v>0</v>
      </c>
      <c r="H164" s="144">
        <v>3.1996213734202001</v>
      </c>
      <c r="I164" s="144">
        <v>0</v>
      </c>
      <c r="J164" s="203"/>
      <c r="K164" s="144">
        <v>5.7299443809708173</v>
      </c>
    </row>
    <row r="165" spans="1:11" ht="12.6" customHeight="1">
      <c r="A165" s="96" t="s">
        <v>18</v>
      </c>
      <c r="B165" s="144">
        <v>1.88827572788196</v>
      </c>
      <c r="C165" s="144">
        <v>0.50494299334900006</v>
      </c>
      <c r="D165" s="144">
        <v>0</v>
      </c>
      <c r="E165" s="144">
        <v>0</v>
      </c>
      <c r="F165" s="144">
        <v>0.77058638923199996</v>
      </c>
      <c r="G165" s="144">
        <v>0</v>
      </c>
      <c r="H165" s="144">
        <v>6.1170261872959815</v>
      </c>
      <c r="I165" s="144">
        <v>0.10808786064540002</v>
      </c>
      <c r="J165" s="203"/>
      <c r="K165" s="144">
        <v>9.7863436625358258</v>
      </c>
    </row>
    <row r="166" spans="1:11" ht="12.6" customHeight="1">
      <c r="A166" s="96" t="s">
        <v>19</v>
      </c>
      <c r="B166" s="144">
        <v>9.9403174958400022</v>
      </c>
      <c r="C166" s="144">
        <v>0.71510617159000001</v>
      </c>
      <c r="D166" s="144">
        <v>7.7957424368498307</v>
      </c>
      <c r="E166" s="144">
        <v>0.1026047428671584</v>
      </c>
      <c r="F166" s="144">
        <v>10.746289379867751</v>
      </c>
      <c r="G166" s="144">
        <v>0.96532505966000004</v>
      </c>
      <c r="H166" s="144">
        <v>87.133471678200792</v>
      </c>
      <c r="I166" s="144">
        <v>0.88134701328050002</v>
      </c>
      <c r="J166" s="203"/>
      <c r="K166" s="144">
        <v>120.552041861006</v>
      </c>
    </row>
    <row r="167" spans="1:11" ht="12.6" customHeight="1">
      <c r="A167" s="96" t="s">
        <v>564</v>
      </c>
      <c r="B167" s="144">
        <v>1.6969477189036686</v>
      </c>
      <c r="C167" s="144">
        <v>0.37645999999999996</v>
      </c>
      <c r="D167" s="144">
        <v>0</v>
      </c>
      <c r="E167" s="144">
        <v>1.0798897224168901E-4</v>
      </c>
      <c r="F167" s="144">
        <v>0</v>
      </c>
      <c r="G167" s="144">
        <v>0</v>
      </c>
      <c r="H167" s="144">
        <v>0</v>
      </c>
      <c r="I167" s="144">
        <v>0</v>
      </c>
      <c r="J167" s="203"/>
      <c r="K167" s="144">
        <v>2.2659171232406465</v>
      </c>
    </row>
    <row r="168" spans="1:11" ht="12.6" customHeight="1">
      <c r="A168" s="96" t="s">
        <v>20</v>
      </c>
      <c r="B168" s="144">
        <v>12.381026865521859</v>
      </c>
      <c r="C168" s="144">
        <v>21.434911172</v>
      </c>
      <c r="D168" s="144">
        <v>0.3696104439439416</v>
      </c>
      <c r="E168" s="144">
        <v>25.076695836755938</v>
      </c>
      <c r="F168" s="144">
        <v>5.8136117801614695</v>
      </c>
      <c r="G168" s="144">
        <v>0.30444324051358795</v>
      </c>
      <c r="H168" s="144">
        <v>134.90442740967185</v>
      </c>
      <c r="I168" s="144">
        <v>28.15831141353727</v>
      </c>
      <c r="J168" s="203"/>
      <c r="K168" s="144">
        <v>230.02216581722925</v>
      </c>
    </row>
    <row r="169" spans="1:11" ht="12.6" customHeight="1">
      <c r="A169" s="96" t="s">
        <v>60</v>
      </c>
      <c r="B169" s="144">
        <v>3.0261153015089097</v>
      </c>
      <c r="C169" s="144">
        <v>0</v>
      </c>
      <c r="D169" s="144">
        <v>0</v>
      </c>
      <c r="E169" s="144">
        <v>0.63473221600879637</v>
      </c>
      <c r="F169" s="144">
        <v>0.94965999999999995</v>
      </c>
      <c r="G169" s="144">
        <v>5.696337343040001E-3</v>
      </c>
      <c r="H169" s="144">
        <v>0.21622146156445257</v>
      </c>
      <c r="I169" s="144">
        <v>0.92387288800000011</v>
      </c>
      <c r="J169" s="203"/>
      <c r="K169" s="144">
        <v>6.0335841103052914</v>
      </c>
    </row>
    <row r="170" spans="1:11" ht="12.6" customHeight="1">
      <c r="A170" s="96" t="s">
        <v>579</v>
      </c>
      <c r="B170" s="144">
        <v>63.64571920562188</v>
      </c>
      <c r="C170" s="144">
        <v>2.7457590363473492</v>
      </c>
      <c r="D170" s="144">
        <v>118.8968204646132</v>
      </c>
      <c r="E170" s="144">
        <v>8.1302397208595902</v>
      </c>
      <c r="F170" s="144">
        <v>76.626633817184427</v>
      </c>
      <c r="G170" s="144">
        <v>9.2882395892362393</v>
      </c>
      <c r="H170" s="144">
        <f>381.0159688089+49.48085</f>
        <v>430.4968188089</v>
      </c>
      <c r="I170" s="144">
        <v>19.417463100031149</v>
      </c>
      <c r="J170" s="203"/>
      <c r="K170" s="144">
        <f>SUM(B170:I170)</f>
        <v>729.24769374279379</v>
      </c>
    </row>
    <row r="171" spans="1:11" ht="12.6" customHeight="1">
      <c r="A171" s="154" t="s">
        <v>1313</v>
      </c>
      <c r="B171" s="155">
        <f>B172-B168-B167</f>
        <v>63.645719205621866</v>
      </c>
      <c r="C171" s="155">
        <f t="shared" ref="C171:I171" si="13">C172-C168-C167</f>
        <v>2.7457590363473496</v>
      </c>
      <c r="D171" s="155">
        <f t="shared" si="13"/>
        <v>118.89682046461321</v>
      </c>
      <c r="E171" s="155">
        <f t="shared" si="13"/>
        <v>8.2637236846935007</v>
      </c>
      <c r="F171" s="155">
        <f t="shared" si="13"/>
        <v>76.626633817184398</v>
      </c>
      <c r="G171" s="155">
        <f t="shared" si="13"/>
        <v>9.2882395892362393</v>
      </c>
      <c r="H171" s="155">
        <f>H172-H168-H167</f>
        <v>430.7130402704687</v>
      </c>
      <c r="I171" s="155">
        <f t="shared" si="13"/>
        <v>19.417463100031142</v>
      </c>
      <c r="J171" s="204"/>
      <c r="K171" s="155">
        <f>SUM(K157:K169)-K168-K167</f>
        <v>735.5009039490393</v>
      </c>
    </row>
    <row r="172" spans="1:11" ht="12.6" customHeight="1">
      <c r="A172" s="154" t="s">
        <v>44</v>
      </c>
      <c r="B172" s="155">
        <f>SUM(B157:B169)</f>
        <v>77.723693790047392</v>
      </c>
      <c r="C172" s="155">
        <f t="shared" ref="C172" si="14">SUM(C157:C169)</f>
        <v>24.557130208347349</v>
      </c>
      <c r="D172" s="155">
        <f>SUM(D157:D169)</f>
        <v>119.26643090855715</v>
      </c>
      <c r="E172" s="155">
        <f t="shared" ref="E172:I172" si="15">SUM(E157:E169)</f>
        <v>33.34052751042168</v>
      </c>
      <c r="F172" s="155">
        <f t="shared" si="15"/>
        <v>82.440245597345864</v>
      </c>
      <c r="G172" s="155">
        <f t="shared" si="15"/>
        <v>9.5926828297498279</v>
      </c>
      <c r="H172" s="155">
        <f>SUM(H157:H169)</f>
        <v>565.61746768014052</v>
      </c>
      <c r="I172" s="155">
        <f t="shared" si="15"/>
        <v>47.575774513568412</v>
      </c>
      <c r="J172" s="155">
        <v>218.169178109</v>
      </c>
      <c r="K172" s="155">
        <f>SUM(B172:J172)</f>
        <v>1178.2831311471782</v>
      </c>
    </row>
    <row r="173" spans="1:11" ht="12.6" customHeight="1">
      <c r="A173" s="156"/>
      <c r="B173" s="115"/>
      <c r="C173" s="115"/>
      <c r="D173" s="115"/>
      <c r="E173" s="115"/>
      <c r="F173" s="115"/>
      <c r="G173" s="115"/>
      <c r="H173" s="88"/>
      <c r="I173" s="88"/>
      <c r="J173" s="88"/>
      <c r="K173" s="88"/>
    </row>
    <row r="174" spans="1:11" ht="12.6" customHeight="1">
      <c r="A174" s="153" t="s">
        <v>1588</v>
      </c>
      <c r="B174" s="153" t="s">
        <v>24</v>
      </c>
      <c r="C174" s="153" t="s">
        <v>566</v>
      </c>
      <c r="D174" s="153" t="s">
        <v>567</v>
      </c>
      <c r="E174" s="153" t="s">
        <v>8</v>
      </c>
      <c r="F174" s="153" t="s">
        <v>568</v>
      </c>
      <c r="G174" s="153" t="s">
        <v>569</v>
      </c>
      <c r="H174" s="153" t="s">
        <v>25</v>
      </c>
      <c r="I174" s="153" t="s">
        <v>92</v>
      </c>
      <c r="J174" s="153" t="s">
        <v>577</v>
      </c>
      <c r="K174" s="153" t="s">
        <v>22</v>
      </c>
    </row>
    <row r="175" spans="1:11" ht="12.6" customHeight="1">
      <c r="A175" s="96" t="s">
        <v>11</v>
      </c>
      <c r="B175" s="144">
        <v>0.57798373999999986</v>
      </c>
      <c r="C175" s="144">
        <v>0</v>
      </c>
      <c r="D175" s="144">
        <v>25.255936523199999</v>
      </c>
      <c r="E175" s="144">
        <v>3.8327416050699996E-2</v>
      </c>
      <c r="F175" s="144">
        <v>0.29256999999999994</v>
      </c>
      <c r="G175" s="144">
        <v>0</v>
      </c>
      <c r="H175" s="144">
        <v>20.40454368</v>
      </c>
      <c r="I175" s="144">
        <v>0</v>
      </c>
      <c r="J175" s="202"/>
      <c r="K175" s="144">
        <v>46.569361359250699</v>
      </c>
    </row>
    <row r="176" spans="1:11" ht="12.6" customHeight="1">
      <c r="A176" s="96" t="s">
        <v>12</v>
      </c>
      <c r="B176" s="144">
        <v>5.7641859398299999</v>
      </c>
      <c r="C176" s="144">
        <v>1.052272359447979</v>
      </c>
      <c r="D176" s="144">
        <v>6.8033999999999999</v>
      </c>
      <c r="E176" s="144">
        <v>0.35522436038296706</v>
      </c>
      <c r="F176" s="144">
        <v>20.772294586600648</v>
      </c>
      <c r="G176" s="144">
        <v>0.43877910000000003</v>
      </c>
      <c r="H176" s="144">
        <v>86.291563602220307</v>
      </c>
      <c r="I176" s="144">
        <v>0</v>
      </c>
      <c r="J176" s="203"/>
      <c r="K176" s="144">
        <v>121.47771994848191</v>
      </c>
    </row>
    <row r="177" spans="1:11" ht="12.6" customHeight="1">
      <c r="A177" s="96" t="s">
        <v>13</v>
      </c>
      <c r="B177" s="144">
        <v>32.585809763559517</v>
      </c>
      <c r="C177" s="144">
        <v>0</v>
      </c>
      <c r="D177" s="144">
        <v>6.3925794636739575</v>
      </c>
      <c r="E177" s="144">
        <v>2.0768430500707336</v>
      </c>
      <c r="F177" s="144">
        <v>6.1486448191942298</v>
      </c>
      <c r="G177" s="144">
        <v>1.7259168790469201</v>
      </c>
      <c r="H177" s="144">
        <v>31.345470965364729</v>
      </c>
      <c r="I177" s="144">
        <v>8.4646607649999997E-2</v>
      </c>
      <c r="J177" s="203"/>
      <c r="K177" s="144">
        <v>80.359911548560092</v>
      </c>
    </row>
    <row r="178" spans="1:11" ht="12.6" customHeight="1">
      <c r="A178" s="96" t="s">
        <v>14</v>
      </c>
      <c r="B178" s="144">
        <v>0.14709775444330001</v>
      </c>
      <c r="C178" s="144">
        <v>0.47989731923087997</v>
      </c>
      <c r="D178" s="144">
        <v>3.9723253344250002</v>
      </c>
      <c r="E178" s="144">
        <v>0</v>
      </c>
      <c r="F178" s="144">
        <v>0</v>
      </c>
      <c r="G178" s="144">
        <v>0.4748</v>
      </c>
      <c r="H178" s="144">
        <v>0.228557716533725</v>
      </c>
      <c r="I178" s="144">
        <v>4.1635583745</v>
      </c>
      <c r="J178" s="203"/>
      <c r="K178" s="144">
        <v>9.466236499132906</v>
      </c>
    </row>
    <row r="179" spans="1:11" ht="12.6" customHeight="1">
      <c r="A179" s="96" t="s">
        <v>15</v>
      </c>
      <c r="B179" s="144">
        <v>0.102494918872528</v>
      </c>
      <c r="C179" s="144">
        <v>0</v>
      </c>
      <c r="D179" s="144">
        <v>0</v>
      </c>
      <c r="E179" s="144">
        <v>0.27390085700056621</v>
      </c>
      <c r="F179" s="144">
        <v>0</v>
      </c>
      <c r="G179" s="144">
        <v>0</v>
      </c>
      <c r="H179" s="144">
        <v>23.0913617209068</v>
      </c>
      <c r="I179" s="144">
        <v>3.1495323829327173</v>
      </c>
      <c r="J179" s="203"/>
      <c r="K179" s="144">
        <v>26.617289879712612</v>
      </c>
    </row>
    <row r="180" spans="1:11" ht="12.6" customHeight="1">
      <c r="A180" s="96" t="s">
        <v>16</v>
      </c>
      <c r="B180" s="144">
        <v>8.8376184429966891</v>
      </c>
      <c r="C180" s="144">
        <v>0</v>
      </c>
      <c r="D180" s="144">
        <v>42.264950227152859</v>
      </c>
      <c r="E180" s="144">
        <v>1.2428883354838249</v>
      </c>
      <c r="F180" s="144">
        <v>38.186402068744542</v>
      </c>
      <c r="G180" s="144">
        <v>4.7712095155046903</v>
      </c>
      <c r="H180" s="144">
        <v>35.850418841743803</v>
      </c>
      <c r="I180" s="144">
        <v>10.224671419386732</v>
      </c>
      <c r="J180" s="203"/>
      <c r="K180" s="144">
        <v>141.37815885101318</v>
      </c>
    </row>
    <row r="181" spans="1:11" ht="12.6" customHeight="1">
      <c r="A181" s="96" t="s">
        <v>17</v>
      </c>
      <c r="B181" s="144">
        <v>1.23459127065</v>
      </c>
      <c r="C181" s="144">
        <v>0</v>
      </c>
      <c r="D181" s="144">
        <v>25.248000000000001</v>
      </c>
      <c r="E181" s="144">
        <v>1.3872496383157649</v>
      </c>
      <c r="F181" s="144">
        <v>0.46311334000000004</v>
      </c>
      <c r="G181" s="144">
        <v>0</v>
      </c>
      <c r="H181" s="144">
        <v>91.862462497573091</v>
      </c>
      <c r="I181" s="144">
        <v>0</v>
      </c>
      <c r="J181" s="203"/>
      <c r="K181" s="144">
        <v>120.19541674653884</v>
      </c>
    </row>
    <row r="182" spans="1:11" ht="12.6" customHeight="1">
      <c r="A182" s="96" t="s">
        <v>571</v>
      </c>
      <c r="B182" s="144">
        <v>0</v>
      </c>
      <c r="C182" s="144">
        <v>0</v>
      </c>
      <c r="D182" s="144">
        <v>7.6014993159999988E-2</v>
      </c>
      <c r="E182" s="144">
        <v>2.4543080143906169</v>
      </c>
      <c r="F182" s="144">
        <v>0</v>
      </c>
      <c r="G182" s="144">
        <v>0</v>
      </c>
      <c r="H182" s="144">
        <v>3.1996213734202001</v>
      </c>
      <c r="I182" s="144">
        <v>0</v>
      </c>
      <c r="J182" s="203"/>
      <c r="K182" s="144">
        <v>5.7299443809708173</v>
      </c>
    </row>
    <row r="183" spans="1:11" ht="12.6" customHeight="1">
      <c r="A183" s="96" t="s">
        <v>18</v>
      </c>
      <c r="B183" s="144">
        <v>1.9668192304643102</v>
      </c>
      <c r="C183" s="144">
        <v>0.50490337266999996</v>
      </c>
      <c r="D183" s="144">
        <v>0</v>
      </c>
      <c r="E183" s="144">
        <v>0</v>
      </c>
      <c r="F183" s="144">
        <v>0.78283215939200002</v>
      </c>
      <c r="G183" s="144">
        <v>0</v>
      </c>
      <c r="H183" s="144">
        <v>6.3858209887646176</v>
      </c>
      <c r="I183" s="144">
        <v>0.14596791124489999</v>
      </c>
      <c r="J183" s="203"/>
      <c r="K183" s="144">
        <v>9.7863436625358258</v>
      </c>
    </row>
    <row r="184" spans="1:11" ht="12.6" customHeight="1">
      <c r="A184" s="96" t="s">
        <v>19</v>
      </c>
      <c r="B184" s="144">
        <v>9.8317347688600059</v>
      </c>
      <c r="C184" s="144">
        <v>0.82225486093</v>
      </c>
      <c r="D184" s="144">
        <v>8.2370819015295798</v>
      </c>
      <c r="E184" s="144">
        <v>0.1030200303735212</v>
      </c>
      <c r="F184" s="144">
        <v>9.46750375115775</v>
      </c>
      <c r="G184" s="144">
        <v>1.09014856534</v>
      </c>
      <c r="H184" s="144">
        <v>90.044251321489952</v>
      </c>
      <c r="I184" s="144">
        <v>0.9560466613252</v>
      </c>
      <c r="J184" s="203"/>
      <c r="K184" s="144">
        <v>120.552041861006</v>
      </c>
    </row>
    <row r="185" spans="1:11" ht="12.6" customHeight="1">
      <c r="A185" s="96" t="s">
        <v>564</v>
      </c>
      <c r="B185" s="144">
        <v>1.7027891342684045</v>
      </c>
      <c r="C185" s="144">
        <v>0.56301999999999996</v>
      </c>
      <c r="D185" s="144">
        <v>0</v>
      </c>
      <c r="E185" s="144">
        <v>1.0798897224168901E-4</v>
      </c>
      <c r="F185" s="144">
        <v>0</v>
      </c>
      <c r="G185" s="144">
        <v>0</v>
      </c>
      <c r="H185" s="144">
        <v>0</v>
      </c>
      <c r="I185" s="144">
        <v>0</v>
      </c>
      <c r="J185" s="203"/>
      <c r="K185" s="144">
        <v>2.2659171232406465</v>
      </c>
    </row>
    <row r="186" spans="1:11" ht="12.6" customHeight="1">
      <c r="A186" s="96" t="s">
        <v>20</v>
      </c>
      <c r="B186" s="144">
        <v>12.699285446858012</v>
      </c>
      <c r="C186" s="144">
        <v>20.731333440000004</v>
      </c>
      <c r="D186" s="144">
        <v>0.11999303399279317</v>
      </c>
      <c r="E186" s="144">
        <v>28.815454122720624</v>
      </c>
      <c r="F186" s="144">
        <v>5.5988656011558788</v>
      </c>
      <c r="G186" s="144">
        <v>0.30444324051358795</v>
      </c>
      <c r="H186" s="144">
        <v>133.6224548606896</v>
      </c>
      <c r="I186" s="144">
        <v>28.130336071298725</v>
      </c>
      <c r="J186" s="203"/>
      <c r="K186" s="144">
        <v>230.02216581722925</v>
      </c>
    </row>
    <row r="187" spans="1:11" ht="12.6" customHeight="1">
      <c r="A187" s="96" t="s">
        <v>60</v>
      </c>
      <c r="B187" s="144">
        <v>3.2985446982631501</v>
      </c>
      <c r="C187" s="144">
        <v>0</v>
      </c>
      <c r="D187" s="144">
        <v>0</v>
      </c>
      <c r="E187" s="144">
        <v>0.63701058186696957</v>
      </c>
      <c r="F187" s="144">
        <v>0.94965999999999995</v>
      </c>
      <c r="G187" s="144">
        <v>8.2744806107200013E-3</v>
      </c>
      <c r="H187" s="144">
        <v>0.21622146156445257</v>
      </c>
      <c r="I187" s="144">
        <v>0.92387288800000011</v>
      </c>
      <c r="J187" s="203"/>
      <c r="K187" s="144">
        <v>6.0335841103052914</v>
      </c>
    </row>
    <row r="188" spans="1:11" ht="12.6" customHeight="1">
      <c r="A188" s="96" t="s">
        <v>579</v>
      </c>
      <c r="B188" s="144">
        <v>64.346880527939504</v>
      </c>
      <c r="C188" s="144">
        <v>2.8593279122788591</v>
      </c>
      <c r="D188" s="144">
        <v>118.2502884431414</v>
      </c>
      <c r="E188" s="144">
        <v>8.434682001812261</v>
      </c>
      <c r="F188" s="144">
        <v>77.063020725089189</v>
      </c>
      <c r="G188" s="144">
        <v>8.5091285405023296</v>
      </c>
      <c r="H188" s="144">
        <v>388.70407270801724</v>
      </c>
      <c r="I188" s="144">
        <v>19.64829624503955</v>
      </c>
      <c r="J188" s="203"/>
      <c r="K188" s="144">
        <v>687.8156971038203</v>
      </c>
    </row>
    <row r="189" spans="1:11" ht="12.6" customHeight="1">
      <c r="A189" s="154" t="s">
        <v>1313</v>
      </c>
      <c r="B189" s="155">
        <f>B190-B186-B185</f>
        <v>64.346880527939504</v>
      </c>
      <c r="C189" s="155">
        <f t="shared" ref="C189:I189" si="16">C190-C186-C185</f>
        <v>2.8593279122788591</v>
      </c>
      <c r="D189" s="155">
        <f t="shared" si="16"/>
        <v>118.2502884431414</v>
      </c>
      <c r="E189" s="155">
        <f t="shared" si="16"/>
        <v>8.5687722839356635</v>
      </c>
      <c r="F189" s="155">
        <f t="shared" si="16"/>
        <v>77.063020725089174</v>
      </c>
      <c r="G189" s="155">
        <f t="shared" si="16"/>
        <v>8.5091285405023296</v>
      </c>
      <c r="H189" s="155">
        <f t="shared" si="16"/>
        <v>388.92029416958167</v>
      </c>
      <c r="I189" s="155">
        <f t="shared" si="16"/>
        <v>19.648296245039543</v>
      </c>
      <c r="J189" s="204"/>
      <c r="K189" s="155">
        <f>SUM(K175:K187)-K186-K185</f>
        <v>688.16600884750812</v>
      </c>
    </row>
    <row r="190" spans="1:11" ht="12.6" customHeight="1">
      <c r="A190" s="154" t="s">
        <v>44</v>
      </c>
      <c r="B190" s="155">
        <f>SUM(B175:B187)</f>
        <v>78.748955109065918</v>
      </c>
      <c r="C190" s="155">
        <f t="shared" ref="C190:I190" si="17">SUM(C175:C187)</f>
        <v>24.153681352278863</v>
      </c>
      <c r="D190" s="155">
        <f>SUM(D175:D187)</f>
        <v>118.3702814771342</v>
      </c>
      <c r="E190" s="155">
        <f t="shared" si="17"/>
        <v>37.384334395628528</v>
      </c>
      <c r="F190" s="155">
        <f t="shared" si="17"/>
        <v>82.661886326245053</v>
      </c>
      <c r="G190" s="155">
        <f t="shared" si="17"/>
        <v>8.8135717810159182</v>
      </c>
      <c r="H190" s="155">
        <f t="shared" si="17"/>
        <v>522.54274903027124</v>
      </c>
      <c r="I190" s="155">
        <f t="shared" si="17"/>
        <v>47.778632316338268</v>
      </c>
      <c r="J190" s="155">
        <v>217.1</v>
      </c>
      <c r="K190" s="155">
        <f>SUM(B190:J190)</f>
        <v>1137.554091787978</v>
      </c>
    </row>
    <row r="191" spans="1:11" ht="12.6" customHeight="1">
      <c r="A191" s="156"/>
      <c r="B191" s="115"/>
      <c r="C191" s="115"/>
      <c r="D191" s="115"/>
      <c r="E191" s="115"/>
      <c r="F191" s="115"/>
      <c r="G191" s="115"/>
      <c r="H191" s="88"/>
      <c r="I191" s="88"/>
      <c r="J191" s="88"/>
      <c r="K191" s="88"/>
    </row>
    <row r="192" spans="1:11" ht="12.6" customHeight="1">
      <c r="A192" s="153" t="s">
        <v>1466</v>
      </c>
      <c r="B192" s="153" t="s">
        <v>24</v>
      </c>
      <c r="C192" s="153" t="s">
        <v>566</v>
      </c>
      <c r="D192" s="153" t="s">
        <v>567</v>
      </c>
      <c r="E192" s="153" t="s">
        <v>8</v>
      </c>
      <c r="F192" s="153" t="s">
        <v>568</v>
      </c>
      <c r="G192" s="153" t="s">
        <v>569</v>
      </c>
      <c r="H192" s="153" t="s">
        <v>25</v>
      </c>
      <c r="I192" s="153" t="s">
        <v>92</v>
      </c>
      <c r="J192" s="153" t="s">
        <v>22</v>
      </c>
      <c r="K192" s="88"/>
    </row>
    <row r="193" spans="1:11" ht="12.6" customHeight="1">
      <c r="A193" s="96" t="s">
        <v>11</v>
      </c>
      <c r="B193" s="144">
        <v>0.63538217999999991</v>
      </c>
      <c r="C193" s="144">
        <v>0</v>
      </c>
      <c r="D193" s="144">
        <v>25.466530683199998</v>
      </c>
      <c r="E193" s="144">
        <v>4.0019733299700003E-2</v>
      </c>
      <c r="F193" s="144">
        <v>0.29256999999999994</v>
      </c>
      <c r="G193" s="144">
        <v>0</v>
      </c>
      <c r="H193" s="144">
        <v>19.84653896</v>
      </c>
      <c r="I193" s="144">
        <v>0</v>
      </c>
      <c r="J193" s="144">
        <v>46.281041556499694</v>
      </c>
      <c r="K193" s="88"/>
    </row>
    <row r="194" spans="1:11" ht="12.6" customHeight="1">
      <c r="A194" s="96" t="s">
        <v>12</v>
      </c>
      <c r="B194" s="144">
        <v>5.8505923532500006</v>
      </c>
      <c r="C194" s="144">
        <v>1.036770245520876</v>
      </c>
      <c r="D194" s="144">
        <v>6.0034000000000001</v>
      </c>
      <c r="E194" s="144">
        <v>0.35766044636456312</v>
      </c>
      <c r="F194" s="144">
        <v>21.027370664404554</v>
      </c>
      <c r="G194" s="144">
        <v>0.5</v>
      </c>
      <c r="H194" s="144">
        <v>87.177575211170321</v>
      </c>
      <c r="I194" s="144">
        <v>0</v>
      </c>
      <c r="J194" s="144">
        <v>121.95336892071032</v>
      </c>
      <c r="K194" s="88"/>
    </row>
    <row r="195" spans="1:11" ht="12.6" customHeight="1">
      <c r="A195" s="96" t="s">
        <v>13</v>
      </c>
      <c r="B195" s="144">
        <v>30.377909618584955</v>
      </c>
      <c r="C195" s="144">
        <v>0</v>
      </c>
      <c r="D195" s="144">
        <v>6.3909239872644017</v>
      </c>
      <c r="E195" s="144">
        <v>2.0815042586279029</v>
      </c>
      <c r="F195" s="144">
        <v>6.1217131163805201</v>
      </c>
      <c r="G195" s="144">
        <v>2.0040109236903798</v>
      </c>
      <c r="H195" s="144">
        <v>24.791042136064434</v>
      </c>
      <c r="I195" s="144">
        <v>8.4646607649999997E-2</v>
      </c>
      <c r="J195" s="144">
        <v>71.851750648262595</v>
      </c>
      <c r="K195" s="88"/>
    </row>
    <row r="196" spans="1:11" ht="12.6" customHeight="1">
      <c r="A196" s="96" t="s">
        <v>14</v>
      </c>
      <c r="B196" s="144">
        <v>0.15640343992960001</v>
      </c>
      <c r="C196" s="144">
        <v>0.47989731923087997</v>
      </c>
      <c r="D196" s="144">
        <v>3.9723253344250002</v>
      </c>
      <c r="E196" s="144">
        <v>0</v>
      </c>
      <c r="F196" s="144">
        <v>0</v>
      </c>
      <c r="G196" s="144">
        <v>0.4748</v>
      </c>
      <c r="H196" s="144">
        <v>0.24684878915645</v>
      </c>
      <c r="I196" s="144">
        <v>4.1635583745</v>
      </c>
      <c r="J196" s="144">
        <v>9.4938332572419313</v>
      </c>
      <c r="K196" s="88"/>
    </row>
    <row r="197" spans="1:11" ht="12.6" customHeight="1">
      <c r="A197" s="96" t="s">
        <v>15</v>
      </c>
      <c r="B197" s="144">
        <v>0.130498853884325</v>
      </c>
      <c r="C197" s="144">
        <v>0</v>
      </c>
      <c r="D197" s="144">
        <v>0</v>
      </c>
      <c r="E197" s="144">
        <v>0.28862802400470711</v>
      </c>
      <c r="F197" s="144">
        <v>0</v>
      </c>
      <c r="G197" s="144">
        <v>0</v>
      </c>
      <c r="H197" s="144">
        <v>27.357082291048361</v>
      </c>
      <c r="I197" s="144">
        <v>3.2890878047446606</v>
      </c>
      <c r="J197" s="144">
        <v>31.065296973682052</v>
      </c>
      <c r="K197" s="88"/>
    </row>
    <row r="198" spans="1:11" ht="12.6" customHeight="1">
      <c r="A198" s="96" t="s">
        <v>16</v>
      </c>
      <c r="B198" s="144">
        <v>8.8943353580951729</v>
      </c>
      <c r="C198" s="144">
        <v>0</v>
      </c>
      <c r="D198" s="144">
        <v>42.711504952845146</v>
      </c>
      <c r="E198" s="144">
        <v>1.2765522581986697</v>
      </c>
      <c r="F198" s="144">
        <v>38.001251999610815</v>
      </c>
      <c r="G198" s="144">
        <v>5.4148180734074494</v>
      </c>
      <c r="H198" s="144">
        <v>39.106158641621498</v>
      </c>
      <c r="I198" s="144">
        <v>10.725759351083537</v>
      </c>
      <c r="J198" s="144">
        <v>146.13038063486229</v>
      </c>
      <c r="K198" s="88"/>
    </row>
    <row r="199" spans="1:11" ht="12.6" customHeight="1">
      <c r="A199" s="96" t="s">
        <v>17</v>
      </c>
      <c r="B199" s="144">
        <v>1.3818583615999998</v>
      </c>
      <c r="C199" s="144">
        <v>0</v>
      </c>
      <c r="D199" s="144">
        <v>25.248000000000001</v>
      </c>
      <c r="E199" s="144">
        <v>0.94467506275694013</v>
      </c>
      <c r="F199" s="144">
        <v>0.47489492799999999</v>
      </c>
      <c r="G199" s="144">
        <v>0</v>
      </c>
      <c r="H199" s="144">
        <v>95.364429951265478</v>
      </c>
      <c r="I199" s="144">
        <v>0</v>
      </c>
      <c r="J199" s="144">
        <v>123.41385830362243</v>
      </c>
      <c r="K199" s="88"/>
    </row>
    <row r="200" spans="1:11" ht="12.6" customHeight="1">
      <c r="A200" s="96" t="s">
        <v>571</v>
      </c>
      <c r="B200" s="144">
        <v>0</v>
      </c>
      <c r="C200" s="144">
        <v>0</v>
      </c>
      <c r="D200" s="144">
        <v>7.6014993159999988E-2</v>
      </c>
      <c r="E200" s="144">
        <v>2.7147799410216922</v>
      </c>
      <c r="F200" s="144">
        <v>0</v>
      </c>
      <c r="G200" s="144">
        <v>0</v>
      </c>
      <c r="H200" s="144">
        <v>3.1996213734202001</v>
      </c>
      <c r="I200" s="144">
        <v>0</v>
      </c>
      <c r="J200" s="144">
        <v>5.9904163076018921</v>
      </c>
      <c r="K200" s="88"/>
    </row>
    <row r="201" spans="1:11" ht="12.6" customHeight="1">
      <c r="A201" s="96" t="s">
        <v>18</v>
      </c>
      <c r="B201" s="144">
        <v>2.0491652684815098</v>
      </c>
      <c r="C201" s="144">
        <v>0.50846871171999997</v>
      </c>
      <c r="D201" s="144">
        <v>0</v>
      </c>
      <c r="E201" s="144">
        <v>0</v>
      </c>
      <c r="F201" s="144">
        <v>0.7950935378559999</v>
      </c>
      <c r="G201" s="144">
        <v>0</v>
      </c>
      <c r="H201" s="144">
        <v>6.702177709318339</v>
      </c>
      <c r="I201" s="144">
        <v>0.20017904188352398</v>
      </c>
      <c r="J201" s="144">
        <v>10.255084269259372</v>
      </c>
      <c r="K201" s="88"/>
    </row>
    <row r="202" spans="1:11" ht="12.6" customHeight="1">
      <c r="A202" s="96" t="s">
        <v>19</v>
      </c>
      <c r="B202" s="144">
        <v>10.549463697440004</v>
      </c>
      <c r="C202" s="144">
        <v>0.85590999999999984</v>
      </c>
      <c r="D202" s="144">
        <v>9.612803937036082</v>
      </c>
      <c r="E202" s="144">
        <v>0.1034353178737648</v>
      </c>
      <c r="F202" s="144">
        <v>7.6770829816689981</v>
      </c>
      <c r="G202" s="144">
        <v>1.2280347542300001</v>
      </c>
      <c r="H202" s="144">
        <v>92.479631210901587</v>
      </c>
      <c r="I202" s="144">
        <v>1.0676893021812002</v>
      </c>
      <c r="J202" s="144">
        <v>123.57405120133163</v>
      </c>
      <c r="K202" s="88"/>
    </row>
    <row r="203" spans="1:11" ht="12.6" customHeight="1">
      <c r="A203" s="96" t="s">
        <v>564</v>
      </c>
      <c r="B203" s="144">
        <v>1.6165330331002328</v>
      </c>
      <c r="C203" s="144">
        <v>0.56301999999999996</v>
      </c>
      <c r="D203" s="144">
        <v>0</v>
      </c>
      <c r="E203" s="144">
        <v>1.0798897224168901E-4</v>
      </c>
      <c r="F203" s="144">
        <v>0</v>
      </c>
      <c r="G203" s="144">
        <v>0</v>
      </c>
      <c r="H203" s="144">
        <v>0</v>
      </c>
      <c r="I203" s="144">
        <v>0</v>
      </c>
      <c r="J203" s="144">
        <v>2.1796610220724744</v>
      </c>
      <c r="K203" s="88"/>
    </row>
    <row r="204" spans="1:11" ht="12.6" customHeight="1">
      <c r="A204" s="96" t="s">
        <v>20</v>
      </c>
      <c r="B204" s="144">
        <v>13.105498463192456</v>
      </c>
      <c r="C204" s="144">
        <v>21.071743439999999</v>
      </c>
      <c r="D204" s="144">
        <v>0.14133874682854683</v>
      </c>
      <c r="E204" s="144">
        <v>29.5790576676097</v>
      </c>
      <c r="F204" s="144">
        <v>5.7458682285328599</v>
      </c>
      <c r="G204" s="144">
        <v>0.30444324051358795</v>
      </c>
      <c r="H204" s="144">
        <v>132.96207015248282</v>
      </c>
      <c r="I204" s="144">
        <v>28.461954518860033</v>
      </c>
      <c r="J204" s="144">
        <v>231.37197445802005</v>
      </c>
      <c r="K204" s="88"/>
    </row>
    <row r="205" spans="1:11" ht="12.6" customHeight="1">
      <c r="A205" s="96" t="s">
        <v>60</v>
      </c>
      <c r="B205" s="144">
        <v>3.8493113213134698</v>
      </c>
      <c r="C205" s="144">
        <v>0</v>
      </c>
      <c r="D205" s="144">
        <v>0</v>
      </c>
      <c r="E205" s="144">
        <v>0.63831963398107139</v>
      </c>
      <c r="F205" s="144">
        <v>0.94965999999999995</v>
      </c>
      <c r="G205" s="144">
        <v>1.1123205288800002E-2</v>
      </c>
      <c r="H205" s="144">
        <v>0.21622146156445257</v>
      </c>
      <c r="I205" s="144">
        <v>0.94066176499999998</v>
      </c>
      <c r="J205" s="144">
        <v>6.6052973871477931</v>
      </c>
      <c r="K205" s="88"/>
    </row>
    <row r="206" spans="1:11" ht="12.6" customHeight="1">
      <c r="A206" s="96" t="s">
        <v>579</v>
      </c>
      <c r="B206" s="144">
        <v>63.708310452579042</v>
      </c>
      <c r="C206" s="144">
        <v>2.8810462764717557</v>
      </c>
      <c r="D206" s="144">
        <v>119.48150388793063</v>
      </c>
      <c r="E206" s="144">
        <v>8.3108860318196101</v>
      </c>
      <c r="F206" s="144">
        <v>75.339637227920889</v>
      </c>
      <c r="G206" s="144">
        <v>9.6327869566166306</v>
      </c>
      <c r="H206" s="144">
        <v>396.27110627396661</v>
      </c>
      <c r="I206" s="144">
        <v>20.471582247042921</v>
      </c>
      <c r="J206" s="144">
        <v>696.09685935434811</v>
      </c>
      <c r="K206" s="88"/>
    </row>
    <row r="207" spans="1:11" ht="12.6" customHeight="1">
      <c r="A207" s="154" t="s">
        <v>1313</v>
      </c>
      <c r="B207" s="155">
        <v>98.51872234440026</v>
      </c>
      <c r="C207" s="155">
        <v>2.8810462764717557</v>
      </c>
      <c r="D207" s="155">
        <v>119.48150388793063</v>
      </c>
      <c r="E207" s="155">
        <v>14.190451381958656</v>
      </c>
      <c r="F207" s="155">
        <v>83.886577227920895</v>
      </c>
      <c r="G207" s="155">
        <v>9.7328958042158291</v>
      </c>
      <c r="H207" s="155">
        <v>398.43332088961114</v>
      </c>
      <c r="I207" s="155">
        <v>28.937538132042924</v>
      </c>
      <c r="J207" s="155">
        <v>756.0620559445523</v>
      </c>
      <c r="K207" s="88"/>
    </row>
    <row r="208" spans="1:11" ht="12.6" customHeight="1">
      <c r="A208" s="154" t="s">
        <v>44</v>
      </c>
      <c r="B208" s="155">
        <v>78.59695194887172</v>
      </c>
      <c r="C208" s="155">
        <v>24.515809716471754</v>
      </c>
      <c r="D208" s="155">
        <v>119.62284263475918</v>
      </c>
      <c r="E208" s="155">
        <v>38.024740332710948</v>
      </c>
      <c r="F208" s="155">
        <v>81.085505456453745</v>
      </c>
      <c r="G208" s="155">
        <v>9.9372301971302193</v>
      </c>
      <c r="H208" s="155">
        <v>529.449397888014</v>
      </c>
      <c r="I208" s="155">
        <v>48.933536765902957</v>
      </c>
      <c r="J208" s="155">
        <v>930.16601494031431</v>
      </c>
      <c r="K208" s="88"/>
    </row>
    <row r="209" spans="1:11" ht="12.6" customHeight="1">
      <c r="A209" s="156"/>
      <c r="B209" s="115"/>
      <c r="C209" s="115"/>
      <c r="D209" s="115"/>
      <c r="E209" s="115"/>
      <c r="F209" s="115"/>
      <c r="G209" s="115"/>
      <c r="H209" s="88"/>
      <c r="I209" s="88"/>
      <c r="J209" s="88"/>
      <c r="K209" s="88"/>
    </row>
    <row r="210" spans="1:11" ht="12.6" customHeight="1">
      <c r="A210" s="153" t="s">
        <v>1403</v>
      </c>
      <c r="B210" s="153" t="s">
        <v>24</v>
      </c>
      <c r="C210" s="153" t="s">
        <v>566</v>
      </c>
      <c r="D210" s="153" t="s">
        <v>567</v>
      </c>
      <c r="E210" s="153" t="s">
        <v>8</v>
      </c>
      <c r="F210" s="153" t="s">
        <v>568</v>
      </c>
      <c r="G210" s="153" t="s">
        <v>569</v>
      </c>
      <c r="H210" s="153" t="s">
        <v>25</v>
      </c>
      <c r="I210" s="153" t="s">
        <v>92</v>
      </c>
      <c r="J210" s="153" t="s">
        <v>54</v>
      </c>
      <c r="K210" s="88"/>
    </row>
    <row r="211" spans="1:11" ht="12.6" customHeight="1">
      <c r="A211" s="96" t="s">
        <v>11</v>
      </c>
      <c r="B211" s="144">
        <v>0.67500000000000004</v>
      </c>
      <c r="C211" s="144">
        <v>0</v>
      </c>
      <c r="D211" s="144">
        <v>22.786025799999997</v>
      </c>
      <c r="E211" s="144">
        <v>4.1676023047749998E-2</v>
      </c>
      <c r="F211" s="144">
        <v>0.29256999999999994</v>
      </c>
      <c r="G211" s="144">
        <v>0</v>
      </c>
      <c r="H211" s="144">
        <v>20.215851157999996</v>
      </c>
      <c r="I211" s="144">
        <v>0</v>
      </c>
      <c r="J211" s="144">
        <v>44.825139150112307</v>
      </c>
      <c r="K211" s="88"/>
    </row>
    <row r="212" spans="1:11" ht="12.6" customHeight="1">
      <c r="A212" s="96" t="s">
        <v>12</v>
      </c>
      <c r="B212" s="144">
        <v>7.2465767459600015</v>
      </c>
      <c r="C212" s="144">
        <v>1.3175981021485079</v>
      </c>
      <c r="D212" s="144">
        <v>6.003400000000001</v>
      </c>
      <c r="E212" s="144">
        <v>0.35812642137467304</v>
      </c>
      <c r="F212" s="144">
        <v>22.243253397000647</v>
      </c>
      <c r="G212" s="144">
        <v>0.5</v>
      </c>
      <c r="H212" s="144">
        <v>88.125943958010367</v>
      </c>
      <c r="I212" s="144">
        <v>0</v>
      </c>
      <c r="J212" s="144">
        <v>131.65663562679697</v>
      </c>
      <c r="K212" s="88"/>
    </row>
    <row r="213" spans="1:11" ht="12.6" customHeight="1">
      <c r="A213" s="96" t="s">
        <v>13</v>
      </c>
      <c r="B213" s="144">
        <v>36.080944911455127</v>
      </c>
      <c r="C213" s="144">
        <v>0</v>
      </c>
      <c r="D213" s="144">
        <v>3.339406676476016</v>
      </c>
      <c r="E213" s="144">
        <v>2.0825403714878701</v>
      </c>
      <c r="F213" s="144">
        <v>6.2378474414281193</v>
      </c>
      <c r="G213" s="144">
        <v>2.2152767639143098</v>
      </c>
      <c r="H213" s="144">
        <v>24.797619074204803</v>
      </c>
      <c r="I213" s="144">
        <v>9.3646607649999991E-2</v>
      </c>
      <c r="J213" s="144">
        <v>61.403706420976746</v>
      </c>
      <c r="K213" s="88"/>
    </row>
    <row r="214" spans="1:11" ht="12.6" customHeight="1">
      <c r="A214" s="96" t="s">
        <v>14</v>
      </c>
      <c r="B214" s="144">
        <v>0.26414631504249997</v>
      </c>
      <c r="C214" s="144">
        <v>0.47989731923087997</v>
      </c>
      <c r="D214" s="144">
        <v>3.9723253344250002</v>
      </c>
      <c r="E214" s="144">
        <v>0</v>
      </c>
      <c r="F214" s="144">
        <v>0</v>
      </c>
      <c r="G214" s="144">
        <v>0.4748</v>
      </c>
      <c r="H214" s="144">
        <v>0.24684878915645</v>
      </c>
      <c r="I214" s="144">
        <v>4.1635583745</v>
      </c>
      <c r="J214" s="144">
        <v>10.142451564396357</v>
      </c>
      <c r="K214" s="88"/>
    </row>
    <row r="215" spans="1:11" ht="12.6" customHeight="1">
      <c r="A215" s="96" t="s">
        <v>15</v>
      </c>
      <c r="B215" s="144">
        <v>0.15333797594448201</v>
      </c>
      <c r="C215" s="144">
        <v>0</v>
      </c>
      <c r="D215" s="144">
        <v>0</v>
      </c>
      <c r="E215" s="144">
        <v>0.29379062799533656</v>
      </c>
      <c r="F215" s="144">
        <v>0</v>
      </c>
      <c r="G215" s="144">
        <v>0</v>
      </c>
      <c r="H215" s="144">
        <v>28.573900890735942</v>
      </c>
      <c r="I215" s="144">
        <v>3.6083036542150326</v>
      </c>
      <c r="J215" s="144">
        <v>33.525569055544075</v>
      </c>
      <c r="K215" s="88"/>
    </row>
    <row r="216" spans="1:11" ht="12.6" customHeight="1">
      <c r="A216" s="96" t="s">
        <v>16</v>
      </c>
      <c r="B216" s="144">
        <v>9.7871815758723173</v>
      </c>
      <c r="C216" s="144">
        <v>0</v>
      </c>
      <c r="D216" s="144">
        <v>28.606946309890013</v>
      </c>
      <c r="E216" s="144">
        <v>1.2812236490686699</v>
      </c>
      <c r="F216" s="144">
        <v>38.728387367515133</v>
      </c>
      <c r="G216" s="144">
        <v>6.7003322533539693</v>
      </c>
      <c r="H216" s="144">
        <v>38.928587740322222</v>
      </c>
      <c r="I216" s="144">
        <v>10.431437646705247</v>
      </c>
      <c r="J216" s="144">
        <v>141.20116110603129</v>
      </c>
      <c r="K216" s="88"/>
    </row>
    <row r="217" spans="1:11" ht="12.6" customHeight="1">
      <c r="A217" s="96" t="s">
        <v>17</v>
      </c>
      <c r="B217" s="144">
        <v>1.9588541939000002</v>
      </c>
      <c r="C217" s="144">
        <v>0</v>
      </c>
      <c r="D217" s="144">
        <v>25.248000000000001</v>
      </c>
      <c r="E217" s="144">
        <v>0.95988070933101055</v>
      </c>
      <c r="F217" s="144">
        <v>0.65095146999999998</v>
      </c>
      <c r="G217" s="144">
        <v>0</v>
      </c>
      <c r="H217" s="144">
        <v>97.869314755819772</v>
      </c>
      <c r="I217" s="144">
        <v>0</v>
      </c>
      <c r="J217" s="144">
        <v>140.27281397728194</v>
      </c>
      <c r="K217" s="88"/>
    </row>
    <row r="218" spans="1:11" ht="12.6" customHeight="1">
      <c r="A218" s="96" t="s">
        <v>571</v>
      </c>
      <c r="B218" s="144">
        <v>0</v>
      </c>
      <c r="C218" s="144">
        <v>0</v>
      </c>
      <c r="D218" s="144">
        <v>7.6014993159999988E-2</v>
      </c>
      <c r="E218" s="144">
        <v>2.7357885073585364</v>
      </c>
      <c r="F218" s="144">
        <v>0</v>
      </c>
      <c r="G218" s="144">
        <v>0</v>
      </c>
      <c r="H218" s="144">
        <v>3.1996213734202001</v>
      </c>
      <c r="I218" s="144">
        <v>0</v>
      </c>
      <c r="J218" s="144">
        <v>6.0114248739387364</v>
      </c>
      <c r="K218" s="88"/>
    </row>
    <row r="219" spans="1:11" ht="12.6" customHeight="1">
      <c r="A219" s="96" t="s">
        <v>18</v>
      </c>
      <c r="B219" s="144">
        <v>2.7479886267638398</v>
      </c>
      <c r="C219" s="144">
        <v>0.51145625464</v>
      </c>
      <c r="D219" s="144">
        <v>2.0407999999999999</v>
      </c>
      <c r="E219" s="144">
        <v>0</v>
      </c>
      <c r="F219" s="144">
        <v>0.91090112009913904</v>
      </c>
      <c r="G219" s="144">
        <v>0</v>
      </c>
      <c r="H219" s="144">
        <v>6.5989579289302958</v>
      </c>
      <c r="I219" s="144">
        <v>0.270013973618565</v>
      </c>
      <c r="J219" s="144">
        <v>15.404009232233312</v>
      </c>
      <c r="K219" s="88"/>
    </row>
    <row r="220" spans="1:11" ht="12.6" customHeight="1">
      <c r="A220" s="96" t="s">
        <v>19</v>
      </c>
      <c r="B220" s="144">
        <v>9.6903271530600019</v>
      </c>
      <c r="C220" s="144">
        <v>0.87078999999999995</v>
      </c>
      <c r="D220" s="144">
        <v>11.607678553085577</v>
      </c>
      <c r="E220" s="144">
        <v>0.10385060538012761</v>
      </c>
      <c r="F220" s="144">
        <v>8.6605011357647488</v>
      </c>
      <c r="G220" s="144">
        <v>1.3987504431900002</v>
      </c>
      <c r="H220" s="144">
        <v>95.260912770030288</v>
      </c>
      <c r="I220" s="144">
        <v>1.10661653875725</v>
      </c>
      <c r="J220" s="144">
        <v>132.6606058185248</v>
      </c>
      <c r="K220" s="88"/>
    </row>
    <row r="221" spans="1:11" ht="12.6" customHeight="1">
      <c r="A221" s="96" t="s">
        <v>564</v>
      </c>
      <c r="B221" s="144">
        <v>2.9299668835115207</v>
      </c>
      <c r="C221" s="144">
        <v>1.127</v>
      </c>
      <c r="D221" s="144">
        <v>0</v>
      </c>
      <c r="E221" s="144">
        <v>1.0798897224168901E-4</v>
      </c>
      <c r="F221" s="144">
        <v>0</v>
      </c>
      <c r="G221" s="144">
        <v>0</v>
      </c>
      <c r="H221" s="144">
        <v>0</v>
      </c>
      <c r="I221" s="144">
        <v>0</v>
      </c>
      <c r="J221" s="144">
        <v>4.0640686484904327</v>
      </c>
      <c r="K221" s="88"/>
    </row>
    <row r="222" spans="1:11" ht="12.6" customHeight="1">
      <c r="A222" s="96" t="s">
        <v>20</v>
      </c>
      <c r="B222" s="144">
        <v>14.650732390558002</v>
      </c>
      <c r="C222" s="144">
        <v>21.434034025000003</v>
      </c>
      <c r="D222" s="144">
        <v>0.16524711645779722</v>
      </c>
      <c r="E222" s="144">
        <v>26.180535814070833</v>
      </c>
      <c r="F222" s="144">
        <v>5.7992625505586473</v>
      </c>
      <c r="G222" s="144">
        <v>0.30444324051358795</v>
      </c>
      <c r="H222" s="144">
        <v>132.9977101725419</v>
      </c>
      <c r="I222" s="144">
        <v>26.607829096453607</v>
      </c>
      <c r="J222" s="144">
        <v>234.64410609978921</v>
      </c>
      <c r="K222" s="88"/>
    </row>
    <row r="223" spans="1:11" ht="12.6" customHeight="1">
      <c r="A223" s="96" t="s">
        <v>60</v>
      </c>
      <c r="B223" s="144">
        <v>5.4908482066783</v>
      </c>
      <c r="C223" s="144">
        <v>0</v>
      </c>
      <c r="D223" s="144">
        <v>0</v>
      </c>
      <c r="E223" s="144">
        <v>0.63891014444057148</v>
      </c>
      <c r="F223" s="144">
        <v>1.0144299999999999</v>
      </c>
      <c r="G223" s="144">
        <v>1.51868033376E-2</v>
      </c>
      <c r="H223" s="144">
        <v>0.21622146156445257</v>
      </c>
      <c r="I223" s="144">
        <v>0.94066176499999998</v>
      </c>
      <c r="J223" s="144">
        <v>8.2279653307899103</v>
      </c>
      <c r="K223" s="88"/>
    </row>
    <row r="224" spans="1:11" ht="12.6" customHeight="1">
      <c r="A224" s="96" t="s">
        <v>579</v>
      </c>
      <c r="B224" s="144">
        <v>73.038255704676558</v>
      </c>
      <c r="C224" s="144">
        <v>3.179741676019388</v>
      </c>
      <c r="D224" s="144">
        <v>103.68059766703661</v>
      </c>
      <c r="E224" s="144">
        <v>8.360507904715643</v>
      </c>
      <c r="F224" s="144">
        <v>78.674071931807788</v>
      </c>
      <c r="G224" s="144">
        <v>11.30434626379588</v>
      </c>
      <c r="H224" s="144">
        <v>403.81755843863033</v>
      </c>
      <c r="I224" s="144">
        <v>20.614238560446093</v>
      </c>
      <c r="J224" s="144">
        <v>702.66931814712837</v>
      </c>
      <c r="K224" s="88"/>
    </row>
    <row r="225" spans="1:11" ht="12.6" customHeight="1">
      <c r="A225" s="154" t="s">
        <v>1313</v>
      </c>
      <c r="B225" s="155">
        <f>B226-B222-B221</f>
        <v>74.09520570467653</v>
      </c>
      <c r="C225" s="155">
        <f t="shared" ref="C225:I225" si="18">C226-C222-C221</f>
        <v>3.1797416760193853</v>
      </c>
      <c r="D225" s="155">
        <f t="shared" si="18"/>
        <v>103.68059766703662</v>
      </c>
      <c r="E225" s="155">
        <f t="shared" si="18"/>
        <v>8.4957870594845435</v>
      </c>
      <c r="F225" s="155">
        <f t="shared" si="18"/>
        <v>78.738841931807784</v>
      </c>
      <c r="G225" s="155">
        <f t="shared" si="18"/>
        <v>11.304346263795878</v>
      </c>
      <c r="H225" s="155">
        <f t="shared" si="18"/>
        <v>404.03377990019476</v>
      </c>
      <c r="I225" s="155">
        <f t="shared" si="18"/>
        <v>20.614238560446097</v>
      </c>
      <c r="J225" s="155">
        <f>J226-J222-J221</f>
        <v>697.63123329382017</v>
      </c>
      <c r="K225" s="88"/>
    </row>
    <row r="226" spans="1:11" ht="12.6" customHeight="1">
      <c r="A226" s="154" t="s">
        <v>44</v>
      </c>
      <c r="B226" s="155">
        <v>91.675904978746061</v>
      </c>
      <c r="C226" s="155">
        <v>25.740775701019388</v>
      </c>
      <c r="D226" s="155">
        <v>103.84584478349441</v>
      </c>
      <c r="E226" s="155">
        <v>34.676430862527617</v>
      </c>
      <c r="F226" s="155">
        <v>84.538104482366435</v>
      </c>
      <c r="G226" s="155">
        <v>11.608789504309467</v>
      </c>
      <c r="H226" s="155">
        <v>537.03149007273669</v>
      </c>
      <c r="I226" s="155">
        <v>47.222067656899704</v>
      </c>
      <c r="J226" s="155">
        <v>936.33940804209976</v>
      </c>
      <c r="K226" s="88"/>
    </row>
    <row r="227" spans="1:11" ht="12.6" customHeight="1">
      <c r="A227" s="156"/>
      <c r="B227" s="115"/>
      <c r="C227" s="115"/>
      <c r="D227" s="115"/>
      <c r="E227" s="115"/>
      <c r="F227" s="115"/>
      <c r="G227" s="115"/>
      <c r="H227" s="88"/>
      <c r="I227" s="88"/>
      <c r="J227" s="88"/>
      <c r="K227" s="88"/>
    </row>
    <row r="228" spans="1:11" ht="12.6" customHeight="1">
      <c r="A228" s="153" t="s">
        <v>1365</v>
      </c>
      <c r="B228" s="153" t="s">
        <v>24</v>
      </c>
      <c r="C228" s="153" t="s">
        <v>566</v>
      </c>
      <c r="D228" s="153" t="s">
        <v>567</v>
      </c>
      <c r="E228" s="153" t="s">
        <v>8</v>
      </c>
      <c r="F228" s="153" t="s">
        <v>568</v>
      </c>
      <c r="G228" s="153" t="s">
        <v>569</v>
      </c>
      <c r="H228" s="153" t="s">
        <v>25</v>
      </c>
      <c r="I228" s="153" t="s">
        <v>92</v>
      </c>
      <c r="J228" s="153" t="s">
        <v>54</v>
      </c>
      <c r="K228" s="88"/>
    </row>
    <row r="229" spans="1:11" ht="12.6" customHeight="1">
      <c r="A229" s="96" t="s">
        <v>11</v>
      </c>
      <c r="B229" s="144">
        <v>0.67500000000000004</v>
      </c>
      <c r="C229" s="144">
        <v>0</v>
      </c>
      <c r="D229" s="144">
        <v>23.481487691200005</v>
      </c>
      <c r="E229" s="144">
        <v>4.33237249123E-2</v>
      </c>
      <c r="F229" s="144">
        <v>0.29256999999999994</v>
      </c>
      <c r="G229" s="144">
        <v>0</v>
      </c>
      <c r="H229" s="144">
        <v>20.332757734000001</v>
      </c>
      <c r="I229" s="144">
        <v>0</v>
      </c>
      <c r="J229" s="144">
        <v>44.825139150112307</v>
      </c>
      <c r="K229" s="88"/>
    </row>
    <row r="230" spans="1:11" ht="12.6" customHeight="1">
      <c r="A230" s="96" t="s">
        <v>12</v>
      </c>
      <c r="B230" s="144">
        <v>7.3820142642600004</v>
      </c>
      <c r="C230" s="144">
        <v>1.3228753122313799</v>
      </c>
      <c r="D230" s="144">
        <v>6.003400000000001</v>
      </c>
      <c r="E230" s="144">
        <v>0.36129143211530934</v>
      </c>
      <c r="F230" s="144">
        <v>21.335713841579995</v>
      </c>
      <c r="G230" s="144">
        <v>0.5</v>
      </c>
      <c r="H230" s="144">
        <v>94.751340776610306</v>
      </c>
      <c r="I230" s="144">
        <v>0</v>
      </c>
      <c r="J230" s="144">
        <v>131.65663562679697</v>
      </c>
      <c r="K230" s="88"/>
    </row>
    <row r="231" spans="1:11" ht="12.6" customHeight="1">
      <c r="A231" s="96" t="s">
        <v>13</v>
      </c>
      <c r="B231" s="144">
        <v>36.708318101463711</v>
      </c>
      <c r="C231" s="144">
        <v>0</v>
      </c>
      <c r="D231" s="144">
        <v>3.3908369999999994</v>
      </c>
      <c r="E231" s="144">
        <v>2.1031330643588135</v>
      </c>
      <c r="F231" s="144">
        <v>5.5234916179924891</v>
      </c>
      <c r="G231" s="144">
        <v>1.83680078696976</v>
      </c>
      <c r="H231" s="144">
        <v>11.747479242541981</v>
      </c>
      <c r="I231" s="144">
        <v>9.3646607649999991E-2</v>
      </c>
      <c r="J231" s="144">
        <v>61.403706420976746</v>
      </c>
      <c r="K231" s="88"/>
    </row>
    <row r="232" spans="1:11" ht="12.6" customHeight="1">
      <c r="A232" s="96" t="s">
        <v>14</v>
      </c>
      <c r="B232" s="144">
        <v>0.2764941890814</v>
      </c>
      <c r="C232" s="144">
        <v>0.47989731923087997</v>
      </c>
      <c r="D232" s="144">
        <v>3.9723253344250002</v>
      </c>
      <c r="E232" s="144">
        <v>0</v>
      </c>
      <c r="F232" s="144">
        <v>0.51066666671119998</v>
      </c>
      <c r="G232" s="144">
        <v>0.4748</v>
      </c>
      <c r="H232" s="144">
        <v>0.26470968044787502</v>
      </c>
      <c r="I232" s="144">
        <v>4.1635583745</v>
      </c>
      <c r="J232" s="144">
        <v>10.142451564396357</v>
      </c>
      <c r="K232" s="88"/>
    </row>
    <row r="233" spans="1:11" ht="12.6" customHeight="1">
      <c r="A233" s="96" t="s">
        <v>15</v>
      </c>
      <c r="B233" s="144">
        <v>0.18074878982584003</v>
      </c>
      <c r="C233" s="144">
        <v>0</v>
      </c>
      <c r="D233" s="144">
        <v>0</v>
      </c>
      <c r="E233" s="144">
        <v>0.31363235000173295</v>
      </c>
      <c r="F233" s="144">
        <v>0</v>
      </c>
      <c r="G233" s="144">
        <v>0</v>
      </c>
      <c r="H233" s="144">
        <v>29.312847240046867</v>
      </c>
      <c r="I233" s="144">
        <v>3.7183406756696327</v>
      </c>
      <c r="J233" s="144">
        <v>33.525569055544075</v>
      </c>
      <c r="K233" s="88"/>
    </row>
    <row r="234" spans="1:11" ht="12.6" customHeight="1">
      <c r="A234" s="96" t="s">
        <v>16</v>
      </c>
      <c r="B234" s="144">
        <v>10.469723794471733</v>
      </c>
      <c r="C234" s="144">
        <v>0</v>
      </c>
      <c r="D234" s="144">
        <v>29.226377759367821</v>
      </c>
      <c r="E234" s="144">
        <v>1.4677764563474669</v>
      </c>
      <c r="F234" s="144">
        <v>37.897942880883122</v>
      </c>
      <c r="G234" s="144">
        <v>10.559057546907534</v>
      </c>
      <c r="H234" s="144">
        <v>39.814642659895441</v>
      </c>
      <c r="I234" s="144">
        <v>11.765640008158178</v>
      </c>
      <c r="J234" s="144">
        <v>141.20116110603129</v>
      </c>
      <c r="K234" s="88"/>
    </row>
    <row r="235" spans="1:11" ht="12.6" customHeight="1">
      <c r="A235" s="96" t="s">
        <v>17</v>
      </c>
      <c r="B235" s="144">
        <v>2.0535472500000003</v>
      </c>
      <c r="C235" s="144">
        <v>0</v>
      </c>
      <c r="D235" s="144">
        <v>25.248000000000001</v>
      </c>
      <c r="E235" s="144">
        <v>1.0515021376988525</v>
      </c>
      <c r="F235" s="144">
        <v>0.66440366999999989</v>
      </c>
      <c r="G235" s="144">
        <v>0</v>
      </c>
      <c r="H235" s="144">
        <v>111.25536091958311</v>
      </c>
      <c r="I235" s="144">
        <v>0</v>
      </c>
      <c r="J235" s="144">
        <v>140.27281397728194</v>
      </c>
      <c r="K235" s="88"/>
    </row>
    <row r="236" spans="1:11" ht="12.6" customHeight="1">
      <c r="A236" s="96" t="s">
        <v>571</v>
      </c>
      <c r="B236" s="144">
        <v>0</v>
      </c>
      <c r="C236" s="144">
        <v>0</v>
      </c>
      <c r="D236" s="144">
        <v>7.6014993159999988E-2</v>
      </c>
      <c r="E236" s="144">
        <v>2.8084498214771365</v>
      </c>
      <c r="F236" s="144">
        <v>0</v>
      </c>
      <c r="G236" s="144">
        <v>0</v>
      </c>
      <c r="H236" s="144">
        <v>3.1996213734202001</v>
      </c>
      <c r="I236" s="144">
        <v>0</v>
      </c>
      <c r="J236" s="144">
        <v>6.0840861880573369</v>
      </c>
      <c r="K236" s="88"/>
    </row>
    <row r="237" spans="1:11" ht="12.6" customHeight="1">
      <c r="A237" s="96" t="s">
        <v>18</v>
      </c>
      <c r="B237" s="144">
        <v>2.8452440433974</v>
      </c>
      <c r="C237" s="144">
        <v>0.511008392659</v>
      </c>
      <c r="D237" s="144">
        <v>2.0407999999999999</v>
      </c>
      <c r="E237" s="144">
        <v>0</v>
      </c>
      <c r="F237" s="144">
        <v>0.25749283269703999</v>
      </c>
      <c r="G237" s="144">
        <v>0</v>
      </c>
      <c r="H237" s="144">
        <v>9.3776984989134178</v>
      </c>
      <c r="I237" s="144">
        <v>0.37176546456645398</v>
      </c>
      <c r="J237" s="144">
        <v>15.404009232233312</v>
      </c>
      <c r="K237" s="88"/>
    </row>
    <row r="238" spans="1:11" ht="12.6" customHeight="1">
      <c r="A238" s="96" t="s">
        <v>19</v>
      </c>
      <c r="B238" s="144">
        <v>9.6544911544400058</v>
      </c>
      <c r="C238" s="144">
        <v>0.87078999999999995</v>
      </c>
      <c r="D238" s="144">
        <v>12.95498060893083</v>
      </c>
      <c r="E238" s="144">
        <v>0.11194560235508438</v>
      </c>
      <c r="F238" s="144">
        <v>8.9075232439785008</v>
      </c>
      <c r="G238" s="144">
        <v>1.5833145344000001</v>
      </c>
      <c r="H238" s="144">
        <v>97.433080814981295</v>
      </c>
      <c r="I238" s="144">
        <v>1.1444798594390999</v>
      </c>
      <c r="J238" s="144">
        <v>132.6606058185248</v>
      </c>
      <c r="K238" s="88"/>
    </row>
    <row r="239" spans="1:11" ht="12.6" customHeight="1">
      <c r="A239" s="96" t="s">
        <v>564</v>
      </c>
      <c r="B239" s="144">
        <v>2.9369606595181912</v>
      </c>
      <c r="C239" s="144">
        <v>1.127</v>
      </c>
      <c r="D239" s="144">
        <v>0</v>
      </c>
      <c r="E239" s="144">
        <v>1.0798897224168901E-4</v>
      </c>
      <c r="F239" s="144">
        <v>0</v>
      </c>
      <c r="G239" s="144">
        <v>0</v>
      </c>
      <c r="H239" s="144">
        <v>0</v>
      </c>
      <c r="I239" s="144">
        <v>0</v>
      </c>
      <c r="J239" s="144">
        <v>4.0640686484904327</v>
      </c>
      <c r="K239" s="88"/>
    </row>
    <row r="240" spans="1:11" ht="12.6" customHeight="1">
      <c r="A240" s="96" t="s">
        <v>20</v>
      </c>
      <c r="B240" s="144">
        <v>16.05956546953005</v>
      </c>
      <c r="C240" s="144">
        <v>21.394152304999999</v>
      </c>
      <c r="D240" s="144">
        <v>0.19160057695913299</v>
      </c>
      <c r="E240" s="144">
        <v>26.35768519084067</v>
      </c>
      <c r="F240" s="144">
        <v>6.3870776483140288</v>
      </c>
      <c r="G240" s="144">
        <v>0.30444324051358795</v>
      </c>
      <c r="H240" s="144">
        <v>135.48639881143194</v>
      </c>
      <c r="I240" s="144">
        <v>28.463182857199808</v>
      </c>
      <c r="J240" s="144">
        <v>234.64410609978921</v>
      </c>
      <c r="K240" s="88"/>
    </row>
    <row r="241" spans="1:16" ht="12.6" customHeight="1">
      <c r="A241" s="96" t="s">
        <v>60</v>
      </c>
      <c r="B241" s="144">
        <v>5.3785686897876293</v>
      </c>
      <c r="C241" s="144">
        <v>0</v>
      </c>
      <c r="D241" s="144">
        <v>0</v>
      </c>
      <c r="E241" s="144">
        <v>0.63980393648918776</v>
      </c>
      <c r="F241" s="144">
        <v>1.0144299999999999</v>
      </c>
      <c r="G241" s="144">
        <v>2.0993520948640002E-2</v>
      </c>
      <c r="H241" s="144">
        <v>0.21622146156445257</v>
      </c>
      <c r="I241" s="144">
        <v>0.95794772200000011</v>
      </c>
      <c r="J241" s="144">
        <v>8.2279653307899103</v>
      </c>
      <c r="K241" s="88"/>
    </row>
    <row r="242" spans="1:16" ht="12.6" customHeight="1">
      <c r="A242" s="96" t="s">
        <v>579</v>
      </c>
      <c r="B242" s="144">
        <v>74.567200276727732</v>
      </c>
      <c r="C242" s="144">
        <v>3.1845710241212601</v>
      </c>
      <c r="D242" s="144">
        <v>106.39422338708366</v>
      </c>
      <c r="E242" s="144">
        <v>8.7649966092254825</v>
      </c>
      <c r="F242" s="144">
        <v>76.33946475384235</v>
      </c>
      <c r="G242" s="144">
        <v>14.974966389225933</v>
      </c>
      <c r="H242" s="144">
        <v>417.48953894044047</v>
      </c>
      <c r="I242" s="144">
        <v>22.215378711983366</v>
      </c>
      <c r="J242" s="144">
        <v>723.93034009265034</v>
      </c>
      <c r="K242" s="88"/>
    </row>
    <row r="243" spans="1:16" ht="12.6" customHeight="1">
      <c r="A243" s="154" t="s">
        <v>1313</v>
      </c>
      <c r="B243" s="155">
        <f>B244-B240-B239</f>
        <v>75.624150276727718</v>
      </c>
      <c r="C243" s="155">
        <f t="shared" ref="C243:J243" si="19">C244-C240-C239</f>
        <v>3.1845710241212641</v>
      </c>
      <c r="D243" s="155">
        <f t="shared" si="19"/>
        <v>106.39422338708364</v>
      </c>
      <c r="E243" s="155">
        <f t="shared" si="19"/>
        <v>8.9008585257558845</v>
      </c>
      <c r="F243" s="155">
        <f t="shared" si="19"/>
        <v>76.404234753842331</v>
      </c>
      <c r="G243" s="155">
        <f t="shared" si="19"/>
        <v>14.974966389225933</v>
      </c>
      <c r="H243" s="155">
        <f t="shared" si="19"/>
        <v>417.7057604020049</v>
      </c>
      <c r="I243" s="155">
        <f t="shared" si="19"/>
        <v>22.215378711983366</v>
      </c>
      <c r="J243" s="155">
        <f t="shared" si="19"/>
        <v>725.404143470745</v>
      </c>
      <c r="K243" s="88"/>
    </row>
    <row r="244" spans="1:16" ht="12.6" customHeight="1">
      <c r="A244" s="154" t="s">
        <v>44</v>
      </c>
      <c r="B244" s="155">
        <v>94.620676405775967</v>
      </c>
      <c r="C244" s="155">
        <v>25.705723329121263</v>
      </c>
      <c r="D244" s="155">
        <v>106.58582396404277</v>
      </c>
      <c r="E244" s="155">
        <v>35.258651705568795</v>
      </c>
      <c r="F244" s="155">
        <v>82.791312402156365</v>
      </c>
      <c r="G244" s="155">
        <v>15.279409629739522</v>
      </c>
      <c r="H244" s="155">
        <v>553.19215921343687</v>
      </c>
      <c r="I244" s="155">
        <v>50.678561569183174</v>
      </c>
      <c r="J244" s="155">
        <v>964.1123182190247</v>
      </c>
      <c r="K244" s="88"/>
    </row>
    <row r="245" spans="1:16" ht="12.6" customHeight="1">
      <c r="A245" s="156"/>
      <c r="B245" s="115"/>
      <c r="C245" s="115"/>
      <c r="D245" s="115"/>
      <c r="E245" s="115"/>
      <c r="F245" s="115"/>
      <c r="G245" s="115"/>
      <c r="H245" s="88"/>
      <c r="I245" s="88"/>
      <c r="J245" s="88"/>
      <c r="K245" s="88"/>
      <c r="L245" s="16"/>
      <c r="M245" s="16"/>
      <c r="N245" s="16"/>
      <c r="O245" s="16"/>
      <c r="P245" s="16"/>
    </row>
    <row r="246" spans="1:16" ht="12.6" customHeight="1">
      <c r="A246" s="153" t="s">
        <v>1309</v>
      </c>
      <c r="B246" s="153" t="s">
        <v>24</v>
      </c>
      <c r="C246" s="153" t="s">
        <v>566</v>
      </c>
      <c r="D246" s="153" t="s">
        <v>567</v>
      </c>
      <c r="E246" s="153" t="s">
        <v>8</v>
      </c>
      <c r="F246" s="153" t="s">
        <v>568</v>
      </c>
      <c r="G246" s="153" t="s">
        <v>569</v>
      </c>
      <c r="H246" s="153" t="s">
        <v>25</v>
      </c>
      <c r="I246" s="153" t="s">
        <v>92</v>
      </c>
      <c r="J246" s="153" t="s">
        <v>54</v>
      </c>
      <c r="K246" s="88"/>
    </row>
    <row r="247" spans="1:16" ht="12.6" customHeight="1">
      <c r="A247" s="96" t="s">
        <v>11</v>
      </c>
      <c r="B247" s="144">
        <v>0.67500000000000004</v>
      </c>
      <c r="C247" s="144">
        <v>0</v>
      </c>
      <c r="D247" s="144">
        <v>24.268866633600002</v>
      </c>
      <c r="E247" s="144">
        <v>4.4963799216000001E-2</v>
      </c>
      <c r="F247" s="144">
        <v>0.29256999999999994</v>
      </c>
      <c r="G247" s="144">
        <v>0</v>
      </c>
      <c r="H247" s="144">
        <v>22.9421623876</v>
      </c>
      <c r="I247" s="144">
        <v>0</v>
      </c>
      <c r="J247" s="144">
        <v>48.223562820415999</v>
      </c>
      <c r="K247" s="88"/>
    </row>
    <row r="248" spans="1:16" ht="12.6" customHeight="1">
      <c r="A248" s="96" t="s">
        <v>12</v>
      </c>
      <c r="B248" s="144">
        <v>6.8489856742800015</v>
      </c>
      <c r="C248" s="144">
        <v>1.38802442184052</v>
      </c>
      <c r="D248" s="144">
        <v>6.003400000000001</v>
      </c>
      <c r="E248" s="144">
        <v>0.36259522949543815</v>
      </c>
      <c r="F248" s="144">
        <v>20.50113374028</v>
      </c>
      <c r="G248" s="144">
        <v>0.5</v>
      </c>
      <c r="H248" s="144">
        <v>87.873644107890328</v>
      </c>
      <c r="I248" s="144">
        <v>0</v>
      </c>
      <c r="J248" s="144">
        <v>123.47778317378631</v>
      </c>
      <c r="K248" s="88"/>
    </row>
    <row r="249" spans="1:16" ht="12.6" customHeight="1">
      <c r="A249" s="96" t="s">
        <v>13</v>
      </c>
      <c r="B249" s="144">
        <v>37.774476050691767</v>
      </c>
      <c r="C249" s="144">
        <v>0</v>
      </c>
      <c r="D249" s="144">
        <v>3.3929281177016417</v>
      </c>
      <c r="E249" s="144">
        <v>2.1056871519157547</v>
      </c>
      <c r="F249" s="144">
        <v>5.6244773811737501</v>
      </c>
      <c r="G249" s="144">
        <v>1.9942378040141697</v>
      </c>
      <c r="H249" s="144">
        <v>11.75779370316979</v>
      </c>
      <c r="I249" s="144">
        <v>0.10264660765000001</v>
      </c>
      <c r="J249" s="144">
        <v>62.752246816316884</v>
      </c>
      <c r="K249" s="88"/>
    </row>
    <row r="250" spans="1:16" ht="12.6" customHeight="1">
      <c r="A250" s="96" t="s">
        <v>14</v>
      </c>
      <c r="B250" s="144">
        <v>0.28201763294740001</v>
      </c>
      <c r="C250" s="144">
        <v>0.47989731923087997</v>
      </c>
      <c r="D250" s="144">
        <v>3.9723253344250002</v>
      </c>
      <c r="E250" s="144">
        <v>0</v>
      </c>
      <c r="F250" s="144">
        <v>0.51066666671119998</v>
      </c>
      <c r="G250" s="144">
        <v>0.4748</v>
      </c>
      <c r="H250" s="144">
        <v>0.26470968044787502</v>
      </c>
      <c r="I250" s="144">
        <v>4.1635583745</v>
      </c>
      <c r="J250" s="144">
        <v>10.147975008262359</v>
      </c>
      <c r="K250" s="88"/>
    </row>
    <row r="251" spans="1:16" ht="12.6" customHeight="1">
      <c r="A251" s="96" t="s">
        <v>15</v>
      </c>
      <c r="B251" s="144">
        <v>0.21233099400795002</v>
      </c>
      <c r="C251" s="144">
        <v>0</v>
      </c>
      <c r="D251" s="144">
        <v>0</v>
      </c>
      <c r="E251" s="144">
        <v>0.31536299999999995</v>
      </c>
      <c r="F251" s="144">
        <v>0</v>
      </c>
      <c r="G251" s="144">
        <v>0</v>
      </c>
      <c r="H251" s="144">
        <v>27.000200615290442</v>
      </c>
      <c r="I251" s="144">
        <v>3.808552261986919</v>
      </c>
      <c r="J251" s="144">
        <v>31.336446871285307</v>
      </c>
      <c r="K251" s="88"/>
    </row>
    <row r="252" spans="1:16" ht="12.6" customHeight="1">
      <c r="A252" s="96" t="s">
        <v>16</v>
      </c>
      <c r="B252" s="144">
        <v>10.629838228913622</v>
      </c>
      <c r="C252" s="144">
        <v>0</v>
      </c>
      <c r="D252" s="144">
        <v>29.265673344233402</v>
      </c>
      <c r="E252" s="144">
        <v>1.4734777173679079</v>
      </c>
      <c r="F252" s="144">
        <v>38.973043423978282</v>
      </c>
      <c r="G252" s="144">
        <v>11.019246489910923</v>
      </c>
      <c r="H252" s="144">
        <v>41.405683425090011</v>
      </c>
      <c r="I252" s="144">
        <v>12.026271746028334</v>
      </c>
      <c r="J252" s="144">
        <v>144.79323437552247</v>
      </c>
      <c r="K252" s="88"/>
    </row>
    <row r="253" spans="1:16" ht="12.6" customHeight="1">
      <c r="A253" s="96" t="s">
        <v>17</v>
      </c>
      <c r="B253" s="144">
        <v>1.5899499000000001</v>
      </c>
      <c r="C253" s="144">
        <v>0</v>
      </c>
      <c r="D253" s="144">
        <v>25.248000000000001</v>
      </c>
      <c r="E253" s="144">
        <v>1.1407798232079387</v>
      </c>
      <c r="F253" s="144">
        <v>0.68580272200000014</v>
      </c>
      <c r="G253" s="144">
        <v>0</v>
      </c>
      <c r="H253" s="144">
        <v>122.77303216436505</v>
      </c>
      <c r="I253" s="144">
        <v>0</v>
      </c>
      <c r="J253" s="144">
        <v>151.437564609573</v>
      </c>
      <c r="K253" s="88"/>
    </row>
    <row r="254" spans="1:16" ht="12.6" customHeight="1">
      <c r="A254" s="96" t="s">
        <v>571</v>
      </c>
      <c r="B254" s="144">
        <v>0</v>
      </c>
      <c r="C254" s="144">
        <v>0</v>
      </c>
      <c r="D254" s="144">
        <v>7.6014993159999988E-2</v>
      </c>
      <c r="E254" s="144">
        <v>2.8871658896710022</v>
      </c>
      <c r="F254" s="144">
        <v>0</v>
      </c>
      <c r="G254" s="144">
        <v>0</v>
      </c>
      <c r="H254" s="144">
        <v>3.1996213734202001</v>
      </c>
      <c r="I254" s="144">
        <v>0</v>
      </c>
      <c r="J254" s="144">
        <v>6.1628022562512026</v>
      </c>
      <c r="K254" s="88"/>
    </row>
    <row r="255" spans="1:16" ht="12.6" customHeight="1">
      <c r="A255" s="96" t="s">
        <v>18</v>
      </c>
      <c r="B255" s="144">
        <v>2.7140912379646496</v>
      </c>
      <c r="C255" s="144">
        <v>0.52144153062999998</v>
      </c>
      <c r="D255" s="144">
        <v>2.0407999999999999</v>
      </c>
      <c r="E255" s="144">
        <v>0</v>
      </c>
      <c r="F255" s="144">
        <v>0.26030087706453198</v>
      </c>
      <c r="G255" s="144">
        <v>0</v>
      </c>
      <c r="H255" s="144">
        <v>9.7812975108190248</v>
      </c>
      <c r="I255" s="144">
        <v>0.44832945723709106</v>
      </c>
      <c r="J255" s="144">
        <v>15.766260613715296</v>
      </c>
      <c r="K255" s="88"/>
    </row>
    <row r="256" spans="1:16" ht="12.6" customHeight="1">
      <c r="A256" s="96" t="s">
        <v>19</v>
      </c>
      <c r="B256" s="144">
        <v>8.2351444915500007</v>
      </c>
      <c r="C256" s="144">
        <v>1.05179</v>
      </c>
      <c r="D256" s="144">
        <v>14.247653153564331</v>
      </c>
      <c r="E256" s="144">
        <v>0.132161425</v>
      </c>
      <c r="F256" s="144">
        <v>9.4202796233666017</v>
      </c>
      <c r="G256" s="144">
        <v>1.7741660489200002</v>
      </c>
      <c r="H256" s="144">
        <v>106.60797248466717</v>
      </c>
      <c r="I256" s="144">
        <v>1.1896173395845</v>
      </c>
      <c r="J256" s="144">
        <v>142.6587845666526</v>
      </c>
      <c r="K256" s="88"/>
    </row>
    <row r="257" spans="1:11" ht="12.6" customHeight="1">
      <c r="A257" s="96" t="s">
        <v>564</v>
      </c>
      <c r="B257" s="144">
        <v>2.942426651360925</v>
      </c>
      <c r="C257" s="144">
        <v>1.1103000000000001</v>
      </c>
      <c r="D257" s="144">
        <v>0</v>
      </c>
      <c r="E257" s="144">
        <v>1.0798897224168901E-4</v>
      </c>
      <c r="F257" s="144">
        <v>0</v>
      </c>
      <c r="G257" s="144">
        <v>0</v>
      </c>
      <c r="H257" s="144">
        <v>0</v>
      </c>
      <c r="I257" s="144">
        <v>0</v>
      </c>
      <c r="J257" s="144">
        <v>4.0528346403331668</v>
      </c>
      <c r="K257" s="88"/>
    </row>
    <row r="258" spans="1:11" ht="12.6" customHeight="1">
      <c r="A258" s="96" t="s">
        <v>20</v>
      </c>
      <c r="B258" s="144">
        <v>16.891910908849912</v>
      </c>
      <c r="C258" s="144">
        <v>21.373705934999997</v>
      </c>
      <c r="D258" s="144">
        <v>0.28885632143749518</v>
      </c>
      <c r="E258" s="144">
        <v>26.320844978464955</v>
      </c>
      <c r="F258" s="144">
        <v>5.6943025484315122</v>
      </c>
      <c r="G258" s="144">
        <v>0.30444324051358795</v>
      </c>
      <c r="H258" s="144">
        <v>138.61606548789698</v>
      </c>
      <c r="I258" s="144">
        <v>29.131703269068048</v>
      </c>
      <c r="J258" s="144">
        <v>238.6218326896624</v>
      </c>
      <c r="K258" s="88"/>
    </row>
    <row r="259" spans="1:11" ht="12.6" customHeight="1">
      <c r="A259" s="96" t="s">
        <v>60</v>
      </c>
      <c r="B259" s="144">
        <v>5.1998887505749209</v>
      </c>
      <c r="C259" s="144">
        <v>0</v>
      </c>
      <c r="D259" s="144">
        <v>0</v>
      </c>
      <c r="E259" s="144">
        <v>0.6404064711561539</v>
      </c>
      <c r="F259" s="144">
        <v>1.0144299999999999</v>
      </c>
      <c r="G259" s="144">
        <v>2.8370231533280003E-2</v>
      </c>
      <c r="H259" s="144">
        <v>0.30424113055395258</v>
      </c>
      <c r="I259" s="144">
        <v>0.95794772200000011</v>
      </c>
      <c r="J259" s="144">
        <v>8.145284305818306</v>
      </c>
      <c r="K259" s="88"/>
    </row>
    <row r="260" spans="1:11" ht="12.6" customHeight="1">
      <c r="A260" s="96" t="s">
        <v>579</v>
      </c>
      <c r="B260" s="144">
        <v>73.104772960930305</v>
      </c>
      <c r="C260" s="144">
        <v>3.4411532717013995</v>
      </c>
      <c r="D260" s="144">
        <v>108.51566157668438</v>
      </c>
      <c r="E260" s="144">
        <v>8.9661634757562929</v>
      </c>
      <c r="F260" s="144">
        <v>77.21793443457436</v>
      </c>
      <c r="G260" s="144">
        <v>15.790820574378372</v>
      </c>
      <c r="H260" s="144">
        <v>433.60611745275992</v>
      </c>
      <c r="I260" s="144">
        <v>22.696923508986846</v>
      </c>
      <c r="J260" s="144">
        <v>743.33954725577189</v>
      </c>
      <c r="K260" s="88"/>
    </row>
    <row r="261" spans="1:11" ht="12.6" customHeight="1">
      <c r="A261" s="154" t="s">
        <v>1313</v>
      </c>
      <c r="B261" s="155">
        <v>74.161722960930319</v>
      </c>
      <c r="C261" s="155">
        <v>3.4411532717014013</v>
      </c>
      <c r="D261" s="155">
        <f>D262-D258-D257</f>
        <v>108.51566157668438</v>
      </c>
      <c r="E261" s="155">
        <v>9.1026005070301874</v>
      </c>
      <c r="F261" s="155">
        <v>77.28270443457437</v>
      </c>
      <c r="G261" s="155">
        <v>15.790820574378372</v>
      </c>
      <c r="H261" s="155">
        <v>433.9103585833135</v>
      </c>
      <c r="I261" s="155">
        <v>22.696923508986835</v>
      </c>
      <c r="J261" s="155">
        <v>744.90194541760013</v>
      </c>
      <c r="K261" s="88"/>
    </row>
    <row r="262" spans="1:11" ht="12.6" customHeight="1">
      <c r="A262" s="154" t="s">
        <v>44</v>
      </c>
      <c r="B262" s="155">
        <v>93.996060521141146</v>
      </c>
      <c r="C262" s="155">
        <v>25.925159206701398</v>
      </c>
      <c r="D262" s="155">
        <v>108.80451789812187</v>
      </c>
      <c r="E262" s="155">
        <v>35.423553474467383</v>
      </c>
      <c r="F262" s="155">
        <v>82.977006983005879</v>
      </c>
      <c r="G262" s="155">
        <v>16.095263814891961</v>
      </c>
      <c r="H262" s="155">
        <v>572.5264240712105</v>
      </c>
      <c r="I262" s="155">
        <v>51.828626778054883</v>
      </c>
      <c r="J262" s="155">
        <v>987.57661274759562</v>
      </c>
      <c r="K262" s="88"/>
    </row>
    <row r="263" spans="1:11" ht="12.6" customHeight="1">
      <c r="A263" s="156"/>
      <c r="B263" s="115"/>
      <c r="C263" s="115"/>
      <c r="D263" s="115"/>
      <c r="E263" s="115"/>
      <c r="F263" s="115"/>
      <c r="G263" s="115"/>
      <c r="H263" s="88"/>
      <c r="I263" s="88"/>
      <c r="J263" s="88"/>
      <c r="K263" s="88"/>
    </row>
    <row r="264" spans="1:11" ht="12.6" customHeight="1">
      <c r="A264" s="153" t="s">
        <v>1193</v>
      </c>
      <c r="B264" s="153" t="s">
        <v>24</v>
      </c>
      <c r="C264" s="153" t="s">
        <v>566</v>
      </c>
      <c r="D264" s="153" t="s">
        <v>567</v>
      </c>
      <c r="E264" s="153" t="s">
        <v>8</v>
      </c>
      <c r="F264" s="153" t="s">
        <v>568</v>
      </c>
      <c r="G264" s="153" t="s">
        <v>569</v>
      </c>
      <c r="H264" s="153" t="s">
        <v>25</v>
      </c>
      <c r="I264" s="153" t="s">
        <v>92</v>
      </c>
      <c r="J264" s="153" t="s">
        <v>54</v>
      </c>
      <c r="K264" s="88"/>
    </row>
    <row r="265" spans="1:11" ht="12.6" customHeight="1">
      <c r="A265" s="96" t="s">
        <v>11</v>
      </c>
      <c r="B265" s="144">
        <v>0.67500000000000004</v>
      </c>
      <c r="C265" s="144">
        <v>0</v>
      </c>
      <c r="D265" s="144">
        <v>25.109054051200001</v>
      </c>
      <c r="E265" s="144">
        <v>4.6525968121849996E-2</v>
      </c>
      <c r="F265" s="144">
        <v>0.29256999999999994</v>
      </c>
      <c r="G265" s="144">
        <v>0</v>
      </c>
      <c r="H265" s="144">
        <v>23.221424326400001</v>
      </c>
      <c r="I265" s="144">
        <v>0</v>
      </c>
      <c r="J265" s="144">
        <v>49.344574345721846</v>
      </c>
      <c r="K265" s="88"/>
    </row>
    <row r="266" spans="1:11" ht="12.6" customHeight="1">
      <c r="A266" s="96" t="s">
        <v>12</v>
      </c>
      <c r="B266" s="144">
        <v>5.8023495469400004</v>
      </c>
      <c r="C266" s="144">
        <v>1.3827198338861999</v>
      </c>
      <c r="D266" s="144">
        <v>6.003400000000001</v>
      </c>
      <c r="E266" s="144">
        <v>0.36499270622581587</v>
      </c>
      <c r="F266" s="144">
        <v>20.980699620529997</v>
      </c>
      <c r="G266" s="144">
        <v>0.5</v>
      </c>
      <c r="H266" s="144">
        <v>86.16744758591031</v>
      </c>
      <c r="I266" s="144">
        <v>0</v>
      </c>
      <c r="J266" s="144">
        <v>121.20160929349234</v>
      </c>
      <c r="K266" s="88"/>
    </row>
    <row r="267" spans="1:11" ht="12.6" customHeight="1">
      <c r="A267" s="96" t="s">
        <v>13</v>
      </c>
      <c r="B267" s="144">
        <v>38.23722178190269</v>
      </c>
      <c r="C267" s="144">
        <v>0</v>
      </c>
      <c r="D267" s="144">
        <v>3.3921442667937978</v>
      </c>
      <c r="E267" s="144">
        <v>2.1058801744912152</v>
      </c>
      <c r="F267" s="144">
        <v>5.9560561742317493</v>
      </c>
      <c r="G267" s="144">
        <v>2.2541146326976702</v>
      </c>
      <c r="H267" s="144">
        <v>11.768399255865031</v>
      </c>
      <c r="I267" s="144">
        <v>1.6026466076500001</v>
      </c>
      <c r="J267" s="144">
        <v>65.316462893632163</v>
      </c>
      <c r="K267" s="88"/>
    </row>
    <row r="268" spans="1:11" ht="12.6" customHeight="1">
      <c r="A268" s="96" t="s">
        <v>14</v>
      </c>
      <c r="B268" s="144">
        <v>0.28752</v>
      </c>
      <c r="C268" s="144">
        <v>0.60239999999999994</v>
      </c>
      <c r="D268" s="144">
        <v>3.9723253344250002</v>
      </c>
      <c r="E268" s="144">
        <v>0</v>
      </c>
      <c r="F268" s="144">
        <v>0.51066666671119998</v>
      </c>
      <c r="G268" s="144">
        <v>0.4748</v>
      </c>
      <c r="H268" s="144">
        <v>0.2836580410922</v>
      </c>
      <c r="I268" s="144">
        <v>4.1635583745</v>
      </c>
      <c r="J268" s="144">
        <v>10.294928416728402</v>
      </c>
      <c r="K268" s="88"/>
    </row>
    <row r="269" spans="1:11" ht="12.6" customHeight="1">
      <c r="A269" s="96" t="s">
        <v>15</v>
      </c>
      <c r="B269" s="144">
        <v>0.24232918239448001</v>
      </c>
      <c r="C269" s="144">
        <v>0</v>
      </c>
      <c r="D269" s="144">
        <v>0</v>
      </c>
      <c r="E269" s="144">
        <v>0.1307828370036222</v>
      </c>
      <c r="F269" s="144">
        <v>0</v>
      </c>
      <c r="G269" s="144">
        <v>0</v>
      </c>
      <c r="H269" s="144">
        <v>28.81321764025747</v>
      </c>
      <c r="I269" s="144">
        <v>3.5371880145857277</v>
      </c>
      <c r="J269" s="144">
        <v>32.7235176742413</v>
      </c>
      <c r="K269" s="88"/>
    </row>
    <row r="270" spans="1:11" ht="12.6" customHeight="1">
      <c r="A270" s="96" t="s">
        <v>16</v>
      </c>
      <c r="B270" s="144">
        <v>11.377730046640737</v>
      </c>
      <c r="C270" s="144">
        <v>0</v>
      </c>
      <c r="D270" s="144">
        <v>30.003086837413534</v>
      </c>
      <c r="E270" s="144">
        <v>1.2431120716981001</v>
      </c>
      <c r="F270" s="144">
        <v>38.75818572262154</v>
      </c>
      <c r="G270" s="144">
        <v>11.4893249660895</v>
      </c>
      <c r="H270" s="144">
        <v>42.857159743468493</v>
      </c>
      <c r="I270" s="144">
        <v>12.087301983761664</v>
      </c>
      <c r="J270" s="144">
        <v>147.8159013716936</v>
      </c>
      <c r="K270" s="88"/>
    </row>
    <row r="271" spans="1:11" ht="12.6" customHeight="1">
      <c r="A271" s="96" t="s">
        <v>17</v>
      </c>
      <c r="B271" s="144">
        <v>1.6298067999999999</v>
      </c>
      <c r="C271" s="144">
        <v>0</v>
      </c>
      <c r="D271" s="144">
        <v>25.248100000000001</v>
      </c>
      <c r="E271" s="144">
        <v>1.0020014000122992</v>
      </c>
      <c r="F271" s="144">
        <v>0.71269828999999985</v>
      </c>
      <c r="G271" s="144">
        <v>0</v>
      </c>
      <c r="H271" s="144">
        <v>132.18774770666403</v>
      </c>
      <c r="I271" s="144">
        <v>0</v>
      </c>
      <c r="J271" s="144">
        <v>160.78035419667634</v>
      </c>
      <c r="K271" s="88"/>
    </row>
    <row r="272" spans="1:11" ht="12.6" customHeight="1">
      <c r="A272" s="96" t="s">
        <v>571</v>
      </c>
      <c r="B272" s="144">
        <v>0</v>
      </c>
      <c r="C272" s="144">
        <v>0</v>
      </c>
      <c r="D272" s="144">
        <v>7.6014993159999988E-2</v>
      </c>
      <c r="E272" s="144">
        <v>2.9788270544767759</v>
      </c>
      <c r="F272" s="144">
        <v>0</v>
      </c>
      <c r="G272" s="144">
        <v>0</v>
      </c>
      <c r="H272" s="144">
        <v>3.1996213734202001</v>
      </c>
      <c r="I272" s="144">
        <v>0</v>
      </c>
      <c r="J272" s="144">
        <v>6.2544634210569763</v>
      </c>
      <c r="K272" s="88"/>
    </row>
    <row r="273" spans="1:11" ht="12.6" customHeight="1">
      <c r="A273" s="96" t="s">
        <v>18</v>
      </c>
      <c r="B273" s="144">
        <v>2.7588714488513397</v>
      </c>
      <c r="C273" s="144">
        <v>0.52400237325999999</v>
      </c>
      <c r="D273" s="144">
        <v>2.0407999999999999</v>
      </c>
      <c r="E273" s="144">
        <v>0</v>
      </c>
      <c r="F273" s="144">
        <v>0.26456218691740402</v>
      </c>
      <c r="G273" s="144">
        <v>0</v>
      </c>
      <c r="H273" s="144">
        <v>11.481151465185251</v>
      </c>
      <c r="I273" s="144">
        <v>0.540965030029671</v>
      </c>
      <c r="J273" s="144">
        <v>17.610352504243668</v>
      </c>
      <c r="K273" s="88"/>
    </row>
    <row r="274" spans="1:11" ht="12.6" customHeight="1">
      <c r="A274" s="96" t="s">
        <v>19</v>
      </c>
      <c r="B274" s="144">
        <v>8.6728430553800013</v>
      </c>
      <c r="C274" s="144">
        <v>1.2111506680000002</v>
      </c>
      <c r="D274" s="144">
        <v>14.500228104702078</v>
      </c>
      <c r="E274" s="144">
        <v>0.13257671249999997</v>
      </c>
      <c r="F274" s="144">
        <v>10.530783727083149</v>
      </c>
      <c r="G274" s="144">
        <v>1.9753139806700002</v>
      </c>
      <c r="H274" s="144">
        <v>108.85793880920524</v>
      </c>
      <c r="I274" s="144">
        <v>1.2289732816935</v>
      </c>
      <c r="J274" s="144">
        <v>147.10980833923398</v>
      </c>
      <c r="K274" s="88"/>
    </row>
    <row r="275" spans="1:11" ht="12.6" customHeight="1">
      <c r="A275" s="96" t="s">
        <v>564</v>
      </c>
      <c r="B275" s="144">
        <v>3.169153507198363</v>
      </c>
      <c r="C275" s="144">
        <v>1.1103000000000001</v>
      </c>
      <c r="D275" s="144">
        <v>0</v>
      </c>
      <c r="E275" s="144">
        <v>1.0798897224168901E-4</v>
      </c>
      <c r="F275" s="144">
        <v>0</v>
      </c>
      <c r="G275" s="144">
        <v>0</v>
      </c>
      <c r="H275" s="144">
        <v>0</v>
      </c>
      <c r="I275" s="144">
        <v>0</v>
      </c>
      <c r="J275" s="144">
        <v>4.2795614961706052</v>
      </c>
      <c r="K275" s="88"/>
    </row>
    <row r="276" spans="1:11" ht="12.6" customHeight="1">
      <c r="A276" s="96" t="s">
        <v>20</v>
      </c>
      <c r="B276" s="144">
        <v>17.045471729395992</v>
      </c>
      <c r="C276" s="144">
        <v>21.373705935</v>
      </c>
      <c r="D276" s="144">
        <v>0.43573783138280214</v>
      </c>
      <c r="E276" s="144">
        <v>26.506990886391812</v>
      </c>
      <c r="F276" s="144">
        <v>5.1225064302363199</v>
      </c>
      <c r="G276" s="144">
        <v>0.30444324051358795</v>
      </c>
      <c r="H276" s="144">
        <v>139.7826956344868</v>
      </c>
      <c r="I276" s="144">
        <v>29.276640861907364</v>
      </c>
      <c r="J276" s="144">
        <v>239.84819254931469</v>
      </c>
      <c r="K276" s="88"/>
    </row>
    <row r="277" spans="1:11" ht="12.6" customHeight="1">
      <c r="A277" s="96" t="s">
        <v>60</v>
      </c>
      <c r="B277" s="144">
        <v>4.8162835312517398</v>
      </c>
      <c r="C277" s="144">
        <v>0</v>
      </c>
      <c r="D277" s="144">
        <v>0</v>
      </c>
      <c r="E277" s="144">
        <v>0.67523309425242062</v>
      </c>
      <c r="F277" s="144">
        <v>6.4769999999999994E-2</v>
      </c>
      <c r="G277" s="144">
        <v>3.6876004113920002E-2</v>
      </c>
      <c r="H277" s="144">
        <v>0.31165575155370262</v>
      </c>
      <c r="I277" s="144">
        <v>0.97421466500000009</v>
      </c>
      <c r="J277" s="144">
        <v>6.8790330461717843</v>
      </c>
      <c r="K277" s="88"/>
    </row>
    <row r="278" spans="1:11" ht="12.6" customHeight="1">
      <c r="A278" s="96" t="s">
        <v>579</v>
      </c>
      <c r="B278" s="144">
        <v>73.443005393360991</v>
      </c>
      <c r="C278" s="144">
        <v>3.7202728751462</v>
      </c>
      <c r="D278" s="144">
        <v>110.3451535876944</v>
      </c>
      <c r="E278" s="144">
        <v>8.542927419420197</v>
      </c>
      <c r="F278" s="144">
        <v>78.006222388095054</v>
      </c>
      <c r="G278" s="144">
        <v>16.730429583571091</v>
      </c>
      <c r="H278" s="144">
        <v>448.83776594746831</v>
      </c>
      <c r="I278" s="144">
        <v>24.134847957220561</v>
      </c>
      <c r="J278" s="144">
        <v>763.7606251519768</v>
      </c>
      <c r="K278" s="88"/>
    </row>
    <row r="279" spans="1:11" ht="12.6" customHeight="1">
      <c r="A279" s="154" t="s">
        <v>1313</v>
      </c>
      <c r="B279" s="155">
        <v>74.499955393360977</v>
      </c>
      <c r="C279" s="155">
        <v>3.7202728751461991</v>
      </c>
      <c r="D279" s="155">
        <v>110.34515358769443</v>
      </c>
      <c r="E279" s="155">
        <v>8.6799320187821021</v>
      </c>
      <c r="F279" s="155">
        <v>78.07099238809505</v>
      </c>
      <c r="G279" s="155">
        <v>16.730429583571091</v>
      </c>
      <c r="H279" s="155">
        <v>449.14942169902201</v>
      </c>
      <c r="I279" s="155">
        <v>24.134847957220568</v>
      </c>
      <c r="J279" s="155">
        <v>765.33100550289203</v>
      </c>
      <c r="K279" s="88"/>
    </row>
    <row r="280" spans="1:11" ht="12.6" customHeight="1">
      <c r="A280" s="154" t="s">
        <v>44</v>
      </c>
      <c r="B280" s="155">
        <v>94.714580629955336</v>
      </c>
      <c r="C280" s="155">
        <v>26.204278810146199</v>
      </c>
      <c r="D280" s="155">
        <v>110.78089141907722</v>
      </c>
      <c r="E280" s="155">
        <v>35.187030894146154</v>
      </c>
      <c r="F280" s="155">
        <v>83.193498818331364</v>
      </c>
      <c r="G280" s="155">
        <v>17.03487282408468</v>
      </c>
      <c r="H280" s="155">
        <v>588.93211733350881</v>
      </c>
      <c r="I280" s="155">
        <v>53.411488819127932</v>
      </c>
      <c r="J280" s="155">
        <v>1009.4587595483775</v>
      </c>
      <c r="K280" s="88"/>
    </row>
    <row r="281" spans="1:11" ht="12.6" customHeight="1">
      <c r="A281" s="156"/>
      <c r="B281" s="115"/>
      <c r="C281" s="115"/>
      <c r="D281" s="115"/>
      <c r="E281" s="115"/>
      <c r="F281" s="115"/>
      <c r="G281" s="115"/>
      <c r="H281" s="88"/>
      <c r="I281" s="88"/>
      <c r="J281" s="88"/>
      <c r="K281" s="88"/>
    </row>
    <row r="282" spans="1:11" ht="12.6" customHeight="1">
      <c r="A282" s="153" t="s">
        <v>1141</v>
      </c>
      <c r="B282" s="153" t="s">
        <v>24</v>
      </c>
      <c r="C282" s="153" t="s">
        <v>566</v>
      </c>
      <c r="D282" s="153" t="s">
        <v>567</v>
      </c>
      <c r="E282" s="153" t="s">
        <v>8</v>
      </c>
      <c r="F282" s="153" t="s">
        <v>568</v>
      </c>
      <c r="G282" s="153" t="s">
        <v>569</v>
      </c>
      <c r="H282" s="153" t="s">
        <v>25</v>
      </c>
      <c r="I282" s="153" t="s">
        <v>92</v>
      </c>
      <c r="J282" s="153" t="s">
        <v>54</v>
      </c>
      <c r="K282" s="88"/>
    </row>
    <row r="283" spans="1:11" ht="12.6" customHeight="1">
      <c r="A283" s="96" t="s">
        <v>11</v>
      </c>
      <c r="B283" s="144">
        <v>0.67500000000000004</v>
      </c>
      <c r="C283" s="144">
        <v>0</v>
      </c>
      <c r="D283" s="144">
        <v>25.313364294399999</v>
      </c>
      <c r="E283" s="144">
        <v>4.8081923796900003E-2</v>
      </c>
      <c r="F283" s="144">
        <v>0.29256999999999994</v>
      </c>
      <c r="G283" s="144">
        <v>0</v>
      </c>
      <c r="H283" s="144">
        <v>23.518246395599999</v>
      </c>
      <c r="I283" s="144">
        <v>0</v>
      </c>
      <c r="J283" s="144">
        <v>49.847262613796907</v>
      </c>
      <c r="K283" s="88"/>
    </row>
    <row r="284" spans="1:11" ht="12.6" customHeight="1">
      <c r="A284" s="96" t="s">
        <v>12</v>
      </c>
      <c r="B284" s="144">
        <v>5.7326990637199993</v>
      </c>
      <c r="C284" s="144">
        <v>1.36204727666362</v>
      </c>
      <c r="D284" s="144">
        <v>6.003400000000001</v>
      </c>
      <c r="E284" s="144">
        <v>0.36784765297678673</v>
      </c>
      <c r="F284" s="144">
        <v>21.12860188238</v>
      </c>
      <c r="G284" s="144">
        <v>0</v>
      </c>
      <c r="H284" s="144">
        <v>87.49976126633031</v>
      </c>
      <c r="I284" s="144">
        <v>0</v>
      </c>
      <c r="J284" s="144">
        <v>122.09435714207072</v>
      </c>
      <c r="K284" s="88"/>
    </row>
    <row r="285" spans="1:11" ht="12.6" customHeight="1">
      <c r="A285" s="96" t="s">
        <v>13</v>
      </c>
      <c r="B285" s="144">
        <v>36.782328785261413</v>
      </c>
      <c r="C285" s="144">
        <v>0</v>
      </c>
      <c r="D285" s="144">
        <v>3.3408369999999996</v>
      </c>
      <c r="E285" s="144">
        <v>2.1062022259053435</v>
      </c>
      <c r="F285" s="144">
        <v>3.4527723335</v>
      </c>
      <c r="G285" s="144">
        <v>2.0005950046978005</v>
      </c>
      <c r="H285" s="144">
        <v>2.7787845154285313</v>
      </c>
      <c r="I285" s="144">
        <v>1.61194660765</v>
      </c>
      <c r="J285" s="144">
        <v>52.073466472443101</v>
      </c>
      <c r="K285" s="88"/>
    </row>
    <row r="286" spans="1:11" ht="12.6" customHeight="1">
      <c r="A286" s="96" t="s">
        <v>14</v>
      </c>
      <c r="B286" s="144">
        <v>0.28752</v>
      </c>
      <c r="C286" s="144">
        <v>0.60239999999999994</v>
      </c>
      <c r="D286" s="144">
        <v>3.9723253344250002</v>
      </c>
      <c r="E286" s="144">
        <v>0</v>
      </c>
      <c r="F286" s="144">
        <v>0.51066666671119998</v>
      </c>
      <c r="G286" s="144">
        <v>0.4748</v>
      </c>
      <c r="H286" s="144">
        <v>0.2836580410922</v>
      </c>
      <c r="I286" s="144">
        <v>4.1635583745</v>
      </c>
      <c r="J286" s="144">
        <v>10.294928416728402</v>
      </c>
      <c r="K286" s="88"/>
    </row>
    <row r="287" spans="1:11" ht="12.6" customHeight="1">
      <c r="A287" s="96" t="s">
        <v>15</v>
      </c>
      <c r="B287" s="144">
        <v>0.25463321948288004</v>
      </c>
      <c r="C287" s="144">
        <v>0</v>
      </c>
      <c r="D287" s="144">
        <v>0</v>
      </c>
      <c r="E287" s="144">
        <v>0.15493738399910101</v>
      </c>
      <c r="F287" s="144">
        <v>0</v>
      </c>
      <c r="G287" s="144">
        <v>0</v>
      </c>
      <c r="H287" s="144">
        <v>30.001274189180453</v>
      </c>
      <c r="I287" s="144">
        <v>1.8827213072038853</v>
      </c>
      <c r="J287" s="144">
        <v>32.293566099866318</v>
      </c>
      <c r="K287" s="88"/>
    </row>
    <row r="288" spans="1:11" ht="12.6" customHeight="1">
      <c r="A288" s="96" t="s">
        <v>16</v>
      </c>
      <c r="B288" s="144">
        <v>10.322643066651537</v>
      </c>
      <c r="C288" s="144">
        <v>0</v>
      </c>
      <c r="D288" s="144">
        <v>30.57463208629866</v>
      </c>
      <c r="E288" s="144">
        <v>1.3429948013585764</v>
      </c>
      <c r="F288" s="144">
        <v>39.054913258339454</v>
      </c>
      <c r="G288" s="144">
        <v>10.6387245371667</v>
      </c>
      <c r="H288" s="144">
        <v>36.638527918672054</v>
      </c>
      <c r="I288" s="144">
        <v>12.124191120353835</v>
      </c>
      <c r="J288" s="144">
        <v>140.6966267888408</v>
      </c>
      <c r="K288" s="88"/>
    </row>
    <row r="289" spans="1:11" ht="12.6" customHeight="1">
      <c r="A289" s="96" t="s">
        <v>17</v>
      </c>
      <c r="B289" s="144">
        <v>1.66459885</v>
      </c>
      <c r="C289" s="144">
        <v>0</v>
      </c>
      <c r="D289" s="144">
        <v>0</v>
      </c>
      <c r="E289" s="144">
        <v>1.1519277682424753</v>
      </c>
      <c r="F289" s="144">
        <v>0.73910440599999994</v>
      </c>
      <c r="G289" s="144">
        <v>0</v>
      </c>
      <c r="H289" s="144">
        <v>135.07268437290722</v>
      </c>
      <c r="I289" s="144">
        <v>0</v>
      </c>
      <c r="J289" s="144">
        <v>138.62831539714969</v>
      </c>
      <c r="K289" s="88"/>
    </row>
    <row r="290" spans="1:11" ht="12.6" customHeight="1">
      <c r="A290" s="96" t="s">
        <v>571</v>
      </c>
      <c r="B290" s="144">
        <v>0</v>
      </c>
      <c r="C290" s="144">
        <v>0</v>
      </c>
      <c r="D290" s="144">
        <v>7.6014993159999988E-2</v>
      </c>
      <c r="E290" s="144">
        <v>2.5694212855956438</v>
      </c>
      <c r="F290" s="144">
        <v>0</v>
      </c>
      <c r="G290" s="144">
        <v>0</v>
      </c>
      <c r="H290" s="144">
        <v>3.1996213734202001</v>
      </c>
      <c r="I290" s="144">
        <v>0.14704999999999996</v>
      </c>
      <c r="J290" s="144">
        <v>5.9921076521758438</v>
      </c>
      <c r="K290" s="88"/>
    </row>
    <row r="291" spans="1:11" ht="12.6" customHeight="1">
      <c r="A291" s="96" t="s">
        <v>18</v>
      </c>
      <c r="B291" s="144">
        <v>2.4116931047205998</v>
      </c>
      <c r="C291" s="144">
        <v>0.51982460203899994</v>
      </c>
      <c r="D291" s="144">
        <v>2.0407999999999999</v>
      </c>
      <c r="E291" s="144">
        <v>0</v>
      </c>
      <c r="F291" s="144">
        <v>0.26778605242027403</v>
      </c>
      <c r="G291" s="144">
        <v>0</v>
      </c>
      <c r="H291" s="144">
        <v>11.779997908504345</v>
      </c>
      <c r="I291" s="144">
        <v>0.67259446096710895</v>
      </c>
      <c r="J291" s="144">
        <v>17.692696128651328</v>
      </c>
      <c r="K291" s="88"/>
    </row>
    <row r="292" spans="1:11" ht="12.6" customHeight="1">
      <c r="A292" s="96" t="s">
        <v>19</v>
      </c>
      <c r="B292" s="144">
        <v>9.2722888462100013</v>
      </c>
      <c r="C292" s="144">
        <v>1.55179</v>
      </c>
      <c r="D292" s="144">
        <v>15.208813107534079</v>
      </c>
      <c r="E292" s="144">
        <v>0.132992</v>
      </c>
      <c r="F292" s="144">
        <v>11.583966873876058</v>
      </c>
      <c r="G292" s="144">
        <v>2.21381572075</v>
      </c>
      <c r="H292" s="144">
        <v>113.73670957033536</v>
      </c>
      <c r="I292" s="144">
        <v>0.63236119161600002</v>
      </c>
      <c r="J292" s="144">
        <v>154.33273731032151</v>
      </c>
      <c r="K292" s="88"/>
    </row>
    <row r="293" spans="1:11" ht="12.6" customHeight="1">
      <c r="A293" s="96" t="s">
        <v>564</v>
      </c>
      <c r="B293" s="144">
        <v>3.3957774480738032</v>
      </c>
      <c r="C293" s="144">
        <v>1.1103000000000001</v>
      </c>
      <c r="D293" s="144">
        <v>0</v>
      </c>
      <c r="E293" s="144">
        <v>1.0798897224168901E-4</v>
      </c>
      <c r="F293" s="144">
        <v>0</v>
      </c>
      <c r="G293" s="144">
        <v>0</v>
      </c>
      <c r="H293" s="144">
        <v>0.133194589</v>
      </c>
      <c r="I293" s="144">
        <v>0</v>
      </c>
      <c r="J293" s="144">
        <v>4.6393800260460436</v>
      </c>
      <c r="K293" s="88"/>
    </row>
    <row r="294" spans="1:11" ht="12.6" customHeight="1">
      <c r="A294" s="96" t="s">
        <v>20</v>
      </c>
      <c r="B294" s="144">
        <v>17.390714365494837</v>
      </c>
      <c r="C294" s="144">
        <v>21.285087494999999</v>
      </c>
      <c r="D294" s="144">
        <v>0.19895013353468283</v>
      </c>
      <c r="E294" s="144">
        <v>25.71547358213704</v>
      </c>
      <c r="F294" s="144">
        <v>4.9021470175252002</v>
      </c>
      <c r="G294" s="144">
        <v>0.37971376078078301</v>
      </c>
      <c r="H294" s="144">
        <v>135.39730757676168</v>
      </c>
      <c r="I294" s="144">
        <v>29.361161987477356</v>
      </c>
      <c r="J294" s="144">
        <v>234.63055591871159</v>
      </c>
      <c r="K294" s="88"/>
    </row>
    <row r="295" spans="1:11" ht="12.6" customHeight="1">
      <c r="A295" s="96" t="s">
        <v>60</v>
      </c>
      <c r="B295" s="144">
        <v>4.6077583240329005</v>
      </c>
      <c r="C295" s="144">
        <v>0</v>
      </c>
      <c r="D295" s="144">
        <v>0</v>
      </c>
      <c r="E295" s="144">
        <v>0.6761665768868852</v>
      </c>
      <c r="F295" s="144">
        <v>6.4769999999999994E-2</v>
      </c>
      <c r="G295" s="144">
        <v>4.6605387200640003E-2</v>
      </c>
      <c r="H295" s="144">
        <v>0.31757691656395259</v>
      </c>
      <c r="I295" s="144">
        <v>0.97421466500000009</v>
      </c>
      <c r="J295" s="144">
        <v>6.6870918696843766</v>
      </c>
      <c r="K295" s="88"/>
    </row>
    <row r="296" spans="1:11" ht="12.6" customHeight="1">
      <c r="A296" s="96" t="s">
        <v>579</v>
      </c>
      <c r="B296" s="144">
        <v>70.954213260079342</v>
      </c>
      <c r="C296" s="144">
        <v>4.0360618787026192</v>
      </c>
      <c r="D296" s="144">
        <v>86.530186815817743</v>
      </c>
      <c r="E296" s="144">
        <v>8.413006898968808</v>
      </c>
      <c r="F296" s="144">
        <v>77.030381473226981</v>
      </c>
      <c r="G296" s="144">
        <v>15.374540649815142</v>
      </c>
      <c r="H296" s="144">
        <v>444.50926555147055</v>
      </c>
      <c r="I296" s="144">
        <v>21.23442306229083</v>
      </c>
      <c r="J296" s="144">
        <v>728.08207959037225</v>
      </c>
      <c r="K296" s="88"/>
    </row>
    <row r="297" spans="1:11" ht="12.6" customHeight="1">
      <c r="A297" s="154" t="s">
        <v>1313</v>
      </c>
      <c r="B297" s="155">
        <v>72.011163260079371</v>
      </c>
      <c r="C297" s="155">
        <v>4.0360618787026201</v>
      </c>
      <c r="D297" s="155">
        <v>86.530186815817729</v>
      </c>
      <c r="E297" s="155">
        <v>8.55057161876171</v>
      </c>
      <c r="F297" s="155">
        <v>77.095151473226977</v>
      </c>
      <c r="G297" s="155">
        <v>15.374540649815142</v>
      </c>
      <c r="H297" s="155">
        <v>444.82684246803456</v>
      </c>
      <c r="I297" s="155">
        <v>22.208637727290832</v>
      </c>
      <c r="J297" s="155">
        <v>730.63315589172907</v>
      </c>
      <c r="K297" s="88"/>
    </row>
    <row r="298" spans="1:11" ht="12.6" customHeight="1">
      <c r="A298" s="154" t="s">
        <v>44</v>
      </c>
      <c r="B298" s="155">
        <v>92.797655073648002</v>
      </c>
      <c r="C298" s="155">
        <v>26.43144937370262</v>
      </c>
      <c r="D298" s="155">
        <v>86.729136949352409</v>
      </c>
      <c r="E298" s="155">
        <v>34.266153189870991</v>
      </c>
      <c r="F298" s="155">
        <v>81.997298490752172</v>
      </c>
      <c r="G298" s="155">
        <v>15.754254410595925</v>
      </c>
      <c r="H298" s="155">
        <v>580.35734463379629</v>
      </c>
      <c r="I298" s="155">
        <v>51.569799714768187</v>
      </c>
      <c r="J298" s="155">
        <v>969.90309183648674</v>
      </c>
      <c r="K298" s="88"/>
    </row>
    <row r="299" spans="1:11" ht="12.6" customHeight="1">
      <c r="A299" s="156"/>
      <c r="B299" s="115"/>
      <c r="C299" s="115"/>
      <c r="D299" s="115"/>
      <c r="E299" s="115"/>
      <c r="F299" s="115"/>
      <c r="G299" s="115"/>
      <c r="H299" s="88"/>
      <c r="I299" s="88"/>
      <c r="J299" s="88"/>
      <c r="K299" s="88"/>
    </row>
    <row r="300" spans="1:11" ht="12.6" customHeight="1">
      <c r="A300" s="153" t="s">
        <v>1093</v>
      </c>
      <c r="B300" s="153" t="s">
        <v>24</v>
      </c>
      <c r="C300" s="153" t="s">
        <v>566</v>
      </c>
      <c r="D300" s="153" t="s">
        <v>567</v>
      </c>
      <c r="E300" s="153" t="s">
        <v>8</v>
      </c>
      <c r="F300" s="153" t="s">
        <v>568</v>
      </c>
      <c r="G300" s="153" t="s">
        <v>569</v>
      </c>
      <c r="H300" s="153" t="s">
        <v>25</v>
      </c>
      <c r="I300" s="153" t="s">
        <v>92</v>
      </c>
      <c r="J300" s="153" t="s">
        <v>54</v>
      </c>
      <c r="K300" s="88"/>
    </row>
    <row r="301" spans="1:11" ht="12.6" customHeight="1">
      <c r="A301" s="96" t="s">
        <v>11</v>
      </c>
      <c r="B301" s="144">
        <v>0</v>
      </c>
      <c r="C301" s="144">
        <v>0</v>
      </c>
      <c r="D301" s="144">
        <v>25.564103644800003</v>
      </c>
      <c r="E301" s="144">
        <v>4.9619578755250006E-2</v>
      </c>
      <c r="F301" s="144">
        <v>0.29256999999999994</v>
      </c>
      <c r="G301" s="144">
        <v>0</v>
      </c>
      <c r="H301" s="144">
        <v>23.873511277599999</v>
      </c>
      <c r="I301" s="144">
        <v>0</v>
      </c>
      <c r="J301" s="144">
        <v>49.779804501155247</v>
      </c>
      <c r="K301" s="88"/>
    </row>
    <row r="302" spans="1:11" ht="12.6" customHeight="1">
      <c r="A302" s="96" t="s">
        <v>12</v>
      </c>
      <c r="B302" s="144">
        <v>6.1161735003000013</v>
      </c>
      <c r="C302" s="144">
        <v>1.4039459145840398</v>
      </c>
      <c r="D302" s="144">
        <v>6.003400000000001</v>
      </c>
      <c r="E302" s="144">
        <v>0.36942655866696644</v>
      </c>
      <c r="F302" s="144">
        <v>19.369569361349999</v>
      </c>
      <c r="G302" s="144">
        <v>0</v>
      </c>
      <c r="H302" s="144">
        <v>80.295044069760323</v>
      </c>
      <c r="I302" s="144">
        <v>0</v>
      </c>
      <c r="J302" s="144">
        <v>113.55755940466132</v>
      </c>
      <c r="K302" s="88"/>
    </row>
    <row r="303" spans="1:11" ht="12.6" customHeight="1">
      <c r="A303" s="96" t="s">
        <v>13</v>
      </c>
      <c r="B303" s="144">
        <v>35.346401843492977</v>
      </c>
      <c r="C303" s="144">
        <v>0</v>
      </c>
      <c r="D303" s="144">
        <v>3.1806671018367743</v>
      </c>
      <c r="E303" s="144">
        <v>1.7910792153156068</v>
      </c>
      <c r="F303" s="144">
        <v>3.2930930570000001</v>
      </c>
      <c r="G303" s="144">
        <v>2.1524940210276298</v>
      </c>
      <c r="H303" s="144">
        <v>2.7896409990480717</v>
      </c>
      <c r="I303" s="144">
        <v>1.61194660765</v>
      </c>
      <c r="J303" s="144">
        <v>50.165322845371058</v>
      </c>
      <c r="K303" s="88"/>
    </row>
    <row r="304" spans="1:11" ht="12.6" customHeight="1">
      <c r="A304" s="96" t="s">
        <v>14</v>
      </c>
      <c r="B304" s="144">
        <v>0.28752</v>
      </c>
      <c r="C304" s="144">
        <v>0.60239999999999994</v>
      </c>
      <c r="D304" s="144">
        <v>3.9723253344250002</v>
      </c>
      <c r="E304" s="144">
        <v>0</v>
      </c>
      <c r="F304" s="144">
        <v>0.51066666671119998</v>
      </c>
      <c r="G304" s="144">
        <v>0.4748</v>
      </c>
      <c r="H304" s="144">
        <v>0.30126210020330002</v>
      </c>
      <c r="I304" s="144">
        <v>4.1635583745</v>
      </c>
      <c r="J304" s="144">
        <v>10.312532475839502</v>
      </c>
      <c r="K304" s="88"/>
    </row>
    <row r="305" spans="1:11" ht="12.6" customHeight="1">
      <c r="A305" s="96" t="s">
        <v>15</v>
      </c>
      <c r="B305" s="144">
        <v>0.26937442451199295</v>
      </c>
      <c r="C305" s="144">
        <v>0</v>
      </c>
      <c r="D305" s="144">
        <v>0</v>
      </c>
      <c r="E305" s="144">
        <v>0.1661275860011496</v>
      </c>
      <c r="F305" s="144">
        <v>0</v>
      </c>
      <c r="G305" s="144">
        <v>0</v>
      </c>
      <c r="H305" s="144">
        <v>25.30608114341473</v>
      </c>
      <c r="I305" s="144">
        <v>2.0511893758837996</v>
      </c>
      <c r="J305" s="144">
        <v>27.792772529811671</v>
      </c>
      <c r="K305" s="88"/>
    </row>
    <row r="306" spans="1:11" ht="12.6" customHeight="1">
      <c r="A306" s="96" t="s">
        <v>16</v>
      </c>
      <c r="B306" s="144">
        <v>9.5788650035622904</v>
      </c>
      <c r="C306" s="144">
        <v>0</v>
      </c>
      <c r="D306" s="144">
        <v>32.88265602696648</v>
      </c>
      <c r="E306" s="144">
        <v>1.3704986557020351</v>
      </c>
      <c r="F306" s="144">
        <v>40.951556364211982</v>
      </c>
      <c r="G306" s="144">
        <v>9.8578708744229999</v>
      </c>
      <c r="H306" s="144">
        <v>38.445469936019173</v>
      </c>
      <c r="I306" s="144">
        <v>12.283539909237701</v>
      </c>
      <c r="J306" s="144">
        <v>145.37045677012267</v>
      </c>
      <c r="K306" s="88"/>
    </row>
    <row r="307" spans="1:11" ht="12.6" customHeight="1">
      <c r="A307" s="96" t="s">
        <v>17</v>
      </c>
      <c r="B307" s="144">
        <v>1.69677752595</v>
      </c>
      <c r="C307" s="144">
        <v>0</v>
      </c>
      <c r="D307" s="144">
        <v>0</v>
      </c>
      <c r="E307" s="144">
        <v>1.162405832175667</v>
      </c>
      <c r="F307" s="144">
        <v>0.85322604299999993</v>
      </c>
      <c r="G307" s="144">
        <v>0</v>
      </c>
      <c r="H307" s="144">
        <v>145.35561691173777</v>
      </c>
      <c r="I307" s="144">
        <v>0</v>
      </c>
      <c r="J307" s="144">
        <v>149.06802631286345</v>
      </c>
      <c r="K307" s="88"/>
    </row>
    <row r="308" spans="1:11" ht="12.6" customHeight="1">
      <c r="A308" s="96" t="s">
        <v>571</v>
      </c>
      <c r="B308" s="144">
        <v>0</v>
      </c>
      <c r="C308" s="144">
        <v>0</v>
      </c>
      <c r="D308" s="144">
        <v>7.6014993159999988E-2</v>
      </c>
      <c r="E308" s="144">
        <v>2.0947566556106394</v>
      </c>
      <c r="F308" s="144">
        <v>0</v>
      </c>
      <c r="G308" s="144">
        <v>0</v>
      </c>
      <c r="H308" s="144">
        <v>3.1996213734202001</v>
      </c>
      <c r="I308" s="144">
        <v>0.14704999999999996</v>
      </c>
      <c r="J308" s="144">
        <v>5.5174430221908386</v>
      </c>
      <c r="K308" s="88"/>
    </row>
    <row r="309" spans="1:11" ht="12.6" customHeight="1">
      <c r="A309" s="96" t="s">
        <v>18</v>
      </c>
      <c r="B309" s="144">
        <v>1.3311031198043002</v>
      </c>
      <c r="C309" s="144">
        <v>0.51644193931899995</v>
      </c>
      <c r="D309" s="144">
        <v>2.0407999999999999</v>
      </c>
      <c r="E309" s="144">
        <v>0</v>
      </c>
      <c r="F309" s="144">
        <v>0.120343922058274</v>
      </c>
      <c r="G309" s="144">
        <v>0</v>
      </c>
      <c r="H309" s="144">
        <v>11.954647574043447</v>
      </c>
      <c r="I309" s="144">
        <v>0.77700050929401299</v>
      </c>
      <c r="J309" s="144">
        <v>16.740337064519036</v>
      </c>
      <c r="K309" s="88"/>
    </row>
    <row r="310" spans="1:11" ht="12.6" customHeight="1">
      <c r="A310" s="96" t="s">
        <v>19</v>
      </c>
      <c r="B310" s="144">
        <v>9.210751879830001</v>
      </c>
      <c r="C310" s="144">
        <v>1.696599706</v>
      </c>
      <c r="D310" s="144">
        <v>15.96044823563512</v>
      </c>
      <c r="E310" s="144">
        <v>0.132992</v>
      </c>
      <c r="F310" s="144">
        <v>11.62879223905607</v>
      </c>
      <c r="G310" s="144">
        <v>2.6447468479</v>
      </c>
      <c r="H310" s="144">
        <v>111.15512126397377</v>
      </c>
      <c r="I310" s="144">
        <v>0.65188852759744997</v>
      </c>
      <c r="J310" s="144">
        <v>153.08134069999244</v>
      </c>
      <c r="K310" s="88"/>
    </row>
    <row r="311" spans="1:11" ht="12.6" customHeight="1">
      <c r="A311" s="96" t="s">
        <v>564</v>
      </c>
      <c r="B311" s="144">
        <v>3.1761947827752448</v>
      </c>
      <c r="C311" s="144">
        <v>1.1103000000000001</v>
      </c>
      <c r="D311" s="144">
        <v>0</v>
      </c>
      <c r="E311" s="144">
        <v>1.0798897224168901E-4</v>
      </c>
      <c r="F311" s="144">
        <v>0</v>
      </c>
      <c r="G311" s="144">
        <v>0</v>
      </c>
      <c r="H311" s="144">
        <v>0.133194589</v>
      </c>
      <c r="I311" s="144">
        <v>0</v>
      </c>
      <c r="J311" s="144">
        <v>4.419797360747487</v>
      </c>
      <c r="K311" s="88"/>
    </row>
    <row r="312" spans="1:11" ht="12.6" customHeight="1">
      <c r="A312" s="96" t="s">
        <v>20</v>
      </c>
      <c r="B312" s="144">
        <v>19.198899533540768</v>
      </c>
      <c r="C312" s="144">
        <v>21.508236289999996</v>
      </c>
      <c r="D312" s="144">
        <v>0.23964381876055557</v>
      </c>
      <c r="E312" s="144">
        <v>25.284311007890242</v>
      </c>
      <c r="F312" s="144">
        <v>5.0960390898805619</v>
      </c>
      <c r="G312" s="144">
        <v>0.39948837088461198</v>
      </c>
      <c r="H312" s="144">
        <v>138.02736610825963</v>
      </c>
      <c r="I312" s="144">
        <v>29.819744303626866</v>
      </c>
      <c r="J312" s="144">
        <v>239.57372852284323</v>
      </c>
      <c r="K312" s="88"/>
    </row>
    <row r="313" spans="1:11" ht="12.6" customHeight="1">
      <c r="A313" s="96" t="s">
        <v>60</v>
      </c>
      <c r="B313" s="144">
        <v>4.8698505091865698</v>
      </c>
      <c r="C313" s="144">
        <v>0</v>
      </c>
      <c r="D313" s="144">
        <v>0</v>
      </c>
      <c r="E313" s="144">
        <v>0.67750461224608516</v>
      </c>
      <c r="F313" s="144">
        <v>6.4769999999999994E-2</v>
      </c>
      <c r="G313" s="144">
        <v>5.8736485250880002E-2</v>
      </c>
      <c r="H313" s="144">
        <v>0.32425854746993776</v>
      </c>
      <c r="I313" s="144">
        <v>0.99040704600000007</v>
      </c>
      <c r="J313" s="144">
        <v>6.9855272001534718</v>
      </c>
      <c r="K313" s="88"/>
    </row>
    <row r="314" spans="1:11" ht="12.6" customHeight="1">
      <c r="A314" s="96" t="s">
        <v>579</v>
      </c>
      <c r="B314" s="144">
        <v>67.649867806638127</v>
      </c>
      <c r="C314" s="144">
        <v>4.2193875599030397</v>
      </c>
      <c r="D314" s="144">
        <v>89.680415336823387</v>
      </c>
      <c r="E314" s="144">
        <v>7.6762932041479974</v>
      </c>
      <c r="F314" s="144">
        <v>77.019817653387534</v>
      </c>
      <c r="G314" s="144">
        <v>15.188648228601512</v>
      </c>
      <c r="H314" s="144">
        <v>442.67601664922074</v>
      </c>
      <c r="I314" s="144">
        <v>22.676580350162968</v>
      </c>
      <c r="J314" s="144">
        <v>726.78702678888544</v>
      </c>
      <c r="K314" s="88"/>
    </row>
    <row r="315" spans="1:11" ht="12.6" customHeight="1">
      <c r="A315" s="154" t="s">
        <v>1313</v>
      </c>
      <c r="B315" s="155">
        <v>68.706817806638142</v>
      </c>
      <c r="C315" s="155">
        <v>4.2193875599030424</v>
      </c>
      <c r="D315" s="155">
        <v>89.680415336823373</v>
      </c>
      <c r="E315" s="155">
        <v>7.8144106944734029</v>
      </c>
      <c r="F315" s="155">
        <v>77.084587653387544</v>
      </c>
      <c r="G315" s="155">
        <v>15.188648228601513</v>
      </c>
      <c r="H315" s="155">
        <v>443.00027519669055</v>
      </c>
      <c r="I315" s="155">
        <v>22.676580350162968</v>
      </c>
      <c r="J315" s="155">
        <v>728.37112282668068</v>
      </c>
      <c r="K315" s="88"/>
    </row>
    <row r="316" spans="1:11" ht="12.6" customHeight="1">
      <c r="A316" s="154" t="s">
        <v>44</v>
      </c>
      <c r="B316" s="155">
        <v>91.081912122954151</v>
      </c>
      <c r="C316" s="155">
        <v>26.837923849903039</v>
      </c>
      <c r="D316" s="155">
        <v>89.920059155583928</v>
      </c>
      <c r="E316" s="155">
        <v>33.098829691335887</v>
      </c>
      <c r="F316" s="155">
        <v>82.180626743268107</v>
      </c>
      <c r="G316" s="155">
        <v>15.588136599486125</v>
      </c>
      <c r="H316" s="155">
        <v>581.16083589395021</v>
      </c>
      <c r="I316" s="155">
        <v>52.496324653789834</v>
      </c>
      <c r="J316" s="155">
        <v>972.36464871027135</v>
      </c>
      <c r="K316" s="88"/>
    </row>
    <row r="317" spans="1:11" ht="12.6" customHeight="1">
      <c r="A317" s="156"/>
      <c r="B317" s="115"/>
      <c r="C317" s="115"/>
      <c r="D317" s="115"/>
      <c r="E317" s="115"/>
      <c r="F317" s="115"/>
      <c r="G317" s="115"/>
      <c r="H317" s="88"/>
      <c r="I317" s="88"/>
      <c r="J317" s="88"/>
      <c r="K317" s="88"/>
    </row>
    <row r="318" spans="1:11" ht="12.6" customHeight="1">
      <c r="A318" s="153" t="s">
        <v>1047</v>
      </c>
      <c r="B318" s="153" t="s">
        <v>24</v>
      </c>
      <c r="C318" s="153" t="s">
        <v>566</v>
      </c>
      <c r="D318" s="153" t="s">
        <v>567</v>
      </c>
      <c r="E318" s="153" t="s">
        <v>8</v>
      </c>
      <c r="F318" s="153" t="s">
        <v>568</v>
      </c>
      <c r="G318" s="153" t="s">
        <v>569</v>
      </c>
      <c r="H318" s="153" t="s">
        <v>25</v>
      </c>
      <c r="I318" s="153" t="s">
        <v>92</v>
      </c>
      <c r="J318" s="153" t="s">
        <v>54</v>
      </c>
      <c r="K318" s="88"/>
    </row>
    <row r="319" spans="1:11" ht="12.6" customHeight="1">
      <c r="A319" s="96" t="s">
        <v>11</v>
      </c>
      <c r="B319" s="144">
        <v>0</v>
      </c>
      <c r="C319" s="144">
        <v>0</v>
      </c>
      <c r="D319" s="144">
        <v>25.773624351999999</v>
      </c>
      <c r="E319" s="144">
        <v>5.1139148260899998E-2</v>
      </c>
      <c r="F319" s="144">
        <v>0.29256999999999994</v>
      </c>
      <c r="G319" s="144">
        <v>0</v>
      </c>
      <c r="H319" s="144">
        <v>24.5846090368</v>
      </c>
      <c r="I319" s="144">
        <v>0</v>
      </c>
      <c r="J319" s="144">
        <v>50.701942537060901</v>
      </c>
      <c r="K319" s="88"/>
    </row>
    <row r="320" spans="1:11" ht="12.6" customHeight="1">
      <c r="A320" s="96" t="s">
        <v>12</v>
      </c>
      <c r="B320" s="144">
        <v>5.5694803701400009</v>
      </c>
      <c r="C320" s="144">
        <v>1.4442155149493001</v>
      </c>
      <c r="D320" s="144">
        <v>6.003400000000001</v>
      </c>
      <c r="E320" s="144">
        <v>0.41572941621437765</v>
      </c>
      <c r="F320" s="144">
        <v>18.123417491196001</v>
      </c>
      <c r="G320" s="144">
        <v>0</v>
      </c>
      <c r="H320" s="144">
        <v>80.496595712891406</v>
      </c>
      <c r="I320" s="144">
        <v>0</v>
      </c>
      <c r="J320" s="144">
        <v>112.05283850539109</v>
      </c>
      <c r="K320" s="88"/>
    </row>
    <row r="321" spans="1:11" ht="12.6" customHeight="1">
      <c r="A321" s="96" t="s">
        <v>13</v>
      </c>
      <c r="B321" s="144">
        <v>34.591858209876989</v>
      </c>
      <c r="C321" s="144">
        <v>0</v>
      </c>
      <c r="D321" s="144">
        <v>3.21085136476795</v>
      </c>
      <c r="E321" s="144">
        <v>2.0026779334804048</v>
      </c>
      <c r="F321" s="144">
        <v>3.47515250402</v>
      </c>
      <c r="G321" s="144">
        <v>1.65159644649046</v>
      </c>
      <c r="H321" s="144">
        <v>2.8025042681191916</v>
      </c>
      <c r="I321" s="144">
        <v>1.6212466076500001</v>
      </c>
      <c r="J321" s="144">
        <v>49.35588733440499</v>
      </c>
      <c r="K321" s="88"/>
    </row>
    <row r="322" spans="1:11" ht="12.6" customHeight="1">
      <c r="A322" s="96" t="s">
        <v>14</v>
      </c>
      <c r="B322" s="144">
        <v>0.28752</v>
      </c>
      <c r="C322" s="144">
        <v>0.60239999999999994</v>
      </c>
      <c r="D322" s="144">
        <v>3.9723253344250002</v>
      </c>
      <c r="E322" s="144">
        <v>0</v>
      </c>
      <c r="F322" s="144">
        <v>0.51066666671119998</v>
      </c>
      <c r="G322" s="144">
        <v>0.4748</v>
      </c>
      <c r="H322" s="144">
        <v>0.30126210020330002</v>
      </c>
      <c r="I322" s="144">
        <v>4.1635583745</v>
      </c>
      <c r="J322" s="144">
        <v>10.312532475839502</v>
      </c>
      <c r="K322" s="88"/>
    </row>
    <row r="323" spans="1:11" ht="12.6" customHeight="1">
      <c r="A323" s="96" t="s">
        <v>15</v>
      </c>
      <c r="B323" s="144">
        <v>0.28587008346367299</v>
      </c>
      <c r="C323" s="144">
        <v>0</v>
      </c>
      <c r="D323" s="144">
        <v>0</v>
      </c>
      <c r="E323" s="144">
        <v>0.17742758699966041</v>
      </c>
      <c r="F323" s="144">
        <v>0</v>
      </c>
      <c r="G323" s="144">
        <v>0</v>
      </c>
      <c r="H323" s="144">
        <v>24.709783921174441</v>
      </c>
      <c r="I323" s="144">
        <v>2.6061997890817428</v>
      </c>
      <c r="J323" s="144">
        <v>27.779281380719521</v>
      </c>
      <c r="K323" s="88"/>
    </row>
    <row r="324" spans="1:11" ht="12.6" customHeight="1">
      <c r="A324" s="96" t="s">
        <v>16</v>
      </c>
      <c r="B324" s="144">
        <v>9.9240086094268811</v>
      </c>
      <c r="C324" s="144">
        <v>0</v>
      </c>
      <c r="D324" s="144">
        <v>33.544273331293653</v>
      </c>
      <c r="E324" s="144">
        <v>1.3775174055911579</v>
      </c>
      <c r="F324" s="144">
        <v>37.068937436151238</v>
      </c>
      <c r="G324" s="144">
        <v>10.131902110989602</v>
      </c>
      <c r="H324" s="144">
        <v>38.784374396908753</v>
      </c>
      <c r="I324" s="144">
        <v>13.514933683432012</v>
      </c>
      <c r="J324" s="144">
        <v>144.34594697379333</v>
      </c>
      <c r="K324" s="88"/>
    </row>
    <row r="325" spans="1:11" ht="12.6" customHeight="1">
      <c r="A325" s="96" t="s">
        <v>17</v>
      </c>
      <c r="B325" s="144">
        <v>1.07200791845</v>
      </c>
      <c r="C325" s="144">
        <v>0</v>
      </c>
      <c r="D325" s="144">
        <v>0</v>
      </c>
      <c r="E325" s="144">
        <v>1.1355547673919659</v>
      </c>
      <c r="F325" s="144">
        <v>0.90201925999999988</v>
      </c>
      <c r="G325" s="144">
        <v>0</v>
      </c>
      <c r="H325" s="144">
        <v>148.02574928410542</v>
      </c>
      <c r="I325" s="144">
        <v>0</v>
      </c>
      <c r="J325" s="144">
        <v>151.13533122994738</v>
      </c>
      <c r="K325" s="88"/>
    </row>
    <row r="326" spans="1:11" ht="12.6" customHeight="1">
      <c r="A326" s="96" t="s">
        <v>571</v>
      </c>
      <c r="B326" s="144">
        <v>0</v>
      </c>
      <c r="C326" s="144">
        <v>0</v>
      </c>
      <c r="D326" s="144">
        <v>7.6014993159999988E-2</v>
      </c>
      <c r="E326" s="144">
        <v>1.8210974946340392</v>
      </c>
      <c r="F326" s="144">
        <v>0</v>
      </c>
      <c r="G326" s="144">
        <v>0</v>
      </c>
      <c r="H326" s="144">
        <v>3.1996213734202001</v>
      </c>
      <c r="I326" s="144">
        <v>0.15714999999999998</v>
      </c>
      <c r="J326" s="144">
        <v>5.2538838612142387</v>
      </c>
      <c r="K326" s="88"/>
    </row>
    <row r="327" spans="1:11" ht="12.6" customHeight="1">
      <c r="A327" s="96" t="s">
        <v>18</v>
      </c>
      <c r="B327" s="144">
        <v>1.55911738168295</v>
      </c>
      <c r="C327" s="144">
        <v>0.51672741745899997</v>
      </c>
      <c r="D327" s="144">
        <v>2.0407999999999999</v>
      </c>
      <c r="E327" s="144">
        <v>0</v>
      </c>
      <c r="F327" s="144">
        <v>0.12312197845594001</v>
      </c>
      <c r="G327" s="144">
        <v>0</v>
      </c>
      <c r="H327" s="144">
        <v>12.27588493161447</v>
      </c>
      <c r="I327" s="144">
        <v>0.90232059666374287</v>
      </c>
      <c r="J327" s="144">
        <v>17.417972305876102</v>
      </c>
      <c r="K327" s="88"/>
    </row>
    <row r="328" spans="1:11" ht="12.6" customHeight="1">
      <c r="A328" s="96" t="s">
        <v>19</v>
      </c>
      <c r="B328" s="144">
        <v>8.8252140259499985</v>
      </c>
      <c r="C328" s="144">
        <v>1.7871900000000001</v>
      </c>
      <c r="D328" s="144">
        <v>16.943821451931331</v>
      </c>
      <c r="E328" s="144">
        <v>0.132992</v>
      </c>
      <c r="F328" s="144">
        <v>13.064559633894401</v>
      </c>
      <c r="G328" s="144">
        <v>2.7461397830899998</v>
      </c>
      <c r="H328" s="144">
        <v>110.63536512647813</v>
      </c>
      <c r="I328" s="144">
        <v>0.68922480765660799</v>
      </c>
      <c r="J328" s="144">
        <v>154.82450682900048</v>
      </c>
      <c r="K328" s="88"/>
    </row>
    <row r="329" spans="1:11" ht="12.6" customHeight="1">
      <c r="A329" s="96" t="s">
        <v>564</v>
      </c>
      <c r="B329" s="144">
        <v>3.4206285589524943</v>
      </c>
      <c r="C329" s="144">
        <v>1.1023399999999999</v>
      </c>
      <c r="D329" s="144">
        <v>0</v>
      </c>
      <c r="E329" s="144">
        <v>1.0798897224168901E-4</v>
      </c>
      <c r="F329" s="144">
        <v>0</v>
      </c>
      <c r="G329" s="144">
        <v>0</v>
      </c>
      <c r="H329" s="144">
        <v>0.1381340865</v>
      </c>
      <c r="I329" s="144">
        <v>0</v>
      </c>
      <c r="J329" s="144">
        <v>4.6612106344247355</v>
      </c>
      <c r="K329" s="88"/>
    </row>
    <row r="330" spans="1:11" ht="12.6" customHeight="1">
      <c r="A330" s="96" t="s">
        <v>20</v>
      </c>
      <c r="B330" s="144">
        <v>19.936322837337251</v>
      </c>
      <c r="C330" s="144">
        <v>21.843636290000003</v>
      </c>
      <c r="D330" s="144">
        <v>0.29237857211113932</v>
      </c>
      <c r="E330" s="144">
        <v>24.894392454680172</v>
      </c>
      <c r="F330" s="144">
        <v>5.2586383339259832</v>
      </c>
      <c r="G330" s="144">
        <v>0.43144373722250101</v>
      </c>
      <c r="H330" s="144">
        <v>150.47172033006885</v>
      </c>
      <c r="I330" s="144">
        <v>30.717188175553119</v>
      </c>
      <c r="J330" s="144">
        <v>253.84572073089902</v>
      </c>
      <c r="K330" s="88"/>
    </row>
    <row r="331" spans="1:11" ht="12.6" customHeight="1">
      <c r="A331" s="96" t="s">
        <v>60</v>
      </c>
      <c r="B331" s="144">
        <v>3.9503479314892802</v>
      </c>
      <c r="C331" s="144">
        <v>0</v>
      </c>
      <c r="D331" s="144">
        <v>0</v>
      </c>
      <c r="E331" s="144">
        <v>0.67855447513148393</v>
      </c>
      <c r="F331" s="144">
        <v>6.4769999999999994E-2</v>
      </c>
      <c r="G331" s="144">
        <v>7.353333392240001E-2</v>
      </c>
      <c r="H331" s="144">
        <v>0.33188647166895519</v>
      </c>
      <c r="I331" s="144">
        <v>0.99040704600000007</v>
      </c>
      <c r="J331" s="144">
        <v>6.0894992582121192</v>
      </c>
      <c r="K331" s="88"/>
    </row>
    <row r="332" spans="1:11" ht="12.6" customHeight="1">
      <c r="A332" s="96" t="s">
        <v>579</v>
      </c>
      <c r="B332" s="144">
        <v>65.008474530479788</v>
      </c>
      <c r="C332" s="144">
        <v>4.3505329324082993</v>
      </c>
      <c r="D332" s="144">
        <v>91.565110827577925</v>
      </c>
      <c r="E332" s="144">
        <v>7.6540272203190867</v>
      </c>
      <c r="F332" s="144">
        <v>73.56044497042879</v>
      </c>
      <c r="G332" s="144">
        <v>15.077971674492463</v>
      </c>
      <c r="H332" s="144">
        <v>445.81575015171535</v>
      </c>
      <c r="I332" s="144">
        <v>24.645040904984107</v>
      </c>
      <c r="J332" s="144">
        <v>727.67735321240593</v>
      </c>
      <c r="K332" s="88"/>
    </row>
    <row r="333" spans="1:11" ht="12.6" customHeight="1">
      <c r="A333" s="154" t="s">
        <v>1313</v>
      </c>
      <c r="B333" s="155">
        <v>66.065424530479788</v>
      </c>
      <c r="C333" s="155">
        <v>4.3505329324082975</v>
      </c>
      <c r="D333" s="155">
        <v>91.565110827577925</v>
      </c>
      <c r="E333" s="155">
        <v>7.7926902277039902</v>
      </c>
      <c r="F333" s="155">
        <v>73.625214970428772</v>
      </c>
      <c r="G333" s="155">
        <v>15.077971674492458</v>
      </c>
      <c r="H333" s="155">
        <v>446.14763662338424</v>
      </c>
      <c r="I333" s="155">
        <v>24.6450409049841</v>
      </c>
      <c r="J333" s="155">
        <v>729.26962269145963</v>
      </c>
      <c r="K333" s="88"/>
    </row>
    <row r="334" spans="1:11" ht="12.6" customHeight="1">
      <c r="A334" s="154" t="s">
        <v>44</v>
      </c>
      <c r="B334" s="155">
        <v>89.422375926769547</v>
      </c>
      <c r="C334" s="155">
        <v>27.2965092224083</v>
      </c>
      <c r="D334" s="155">
        <v>91.857489399689058</v>
      </c>
      <c r="E334" s="155">
        <v>32.687190671356404</v>
      </c>
      <c r="F334" s="155">
        <v>78.883853304354759</v>
      </c>
      <c r="G334" s="155">
        <v>15.50941541171496</v>
      </c>
      <c r="H334" s="155">
        <v>596.75749103995304</v>
      </c>
      <c r="I334" s="155">
        <v>55.362229080537219</v>
      </c>
      <c r="J334" s="155">
        <v>987.77655405678343</v>
      </c>
      <c r="K334" s="88"/>
    </row>
    <row r="335" spans="1:11" ht="12.6" customHeight="1">
      <c r="A335" s="88"/>
      <c r="B335" s="115"/>
      <c r="C335" s="115"/>
      <c r="D335" s="115"/>
      <c r="E335" s="115"/>
      <c r="F335" s="115"/>
      <c r="G335" s="115"/>
      <c r="H335" s="88"/>
      <c r="I335" s="88"/>
      <c r="J335" s="88"/>
      <c r="K335" s="157"/>
    </row>
    <row r="336" spans="1:11" ht="12.6" customHeight="1">
      <c r="A336" s="153" t="s">
        <v>826</v>
      </c>
      <c r="B336" s="153" t="s">
        <v>24</v>
      </c>
      <c r="C336" s="153" t="s">
        <v>566</v>
      </c>
      <c r="D336" s="153" t="s">
        <v>567</v>
      </c>
      <c r="E336" s="153" t="s">
        <v>8</v>
      </c>
      <c r="F336" s="153" t="s">
        <v>568</v>
      </c>
      <c r="G336" s="153" t="s">
        <v>569</v>
      </c>
      <c r="H336" s="153" t="s">
        <v>25</v>
      </c>
      <c r="I336" s="153" t="s">
        <v>92</v>
      </c>
      <c r="J336" s="153" t="s">
        <v>54</v>
      </c>
      <c r="K336" s="88"/>
    </row>
    <row r="337" spans="1:11" ht="12.6" customHeight="1">
      <c r="A337" s="96" t="s">
        <v>11</v>
      </c>
      <c r="B337" s="144">
        <v>0</v>
      </c>
      <c r="C337" s="144">
        <v>0.21440000000000003</v>
      </c>
      <c r="D337" s="144">
        <v>26.005379377599997</v>
      </c>
      <c r="E337" s="144">
        <v>5.2606705806900002E-2</v>
      </c>
      <c r="F337" s="144">
        <v>0</v>
      </c>
      <c r="G337" s="144">
        <v>0</v>
      </c>
      <c r="H337" s="144">
        <v>25.014370686400003</v>
      </c>
      <c r="I337" s="144">
        <v>0</v>
      </c>
      <c r="J337" s="144">
        <v>51.286756769806907</v>
      </c>
      <c r="K337" s="88"/>
    </row>
    <row r="338" spans="1:11" ht="12.6" customHeight="1">
      <c r="A338" s="96" t="s">
        <v>12</v>
      </c>
      <c r="B338" s="144">
        <v>5.4443981418099998</v>
      </c>
      <c r="C338" s="144">
        <v>1.4620311295688</v>
      </c>
      <c r="D338" s="144">
        <v>4.003400000000001</v>
      </c>
      <c r="E338" s="144">
        <v>0.41640736821911933</v>
      </c>
      <c r="F338" s="144">
        <v>18.427349011169223</v>
      </c>
      <c r="G338" s="144">
        <v>0</v>
      </c>
      <c r="H338" s="144">
        <v>81.310820410431376</v>
      </c>
      <c r="I338" s="144">
        <v>0</v>
      </c>
      <c r="J338" s="144">
        <v>111.06440606119853</v>
      </c>
      <c r="K338" s="88"/>
    </row>
    <row r="339" spans="1:11" ht="12.6" customHeight="1">
      <c r="A339" s="96" t="s">
        <v>13</v>
      </c>
      <c r="B339" s="144">
        <v>35.068808132004612</v>
      </c>
      <c r="C339" s="144">
        <v>0</v>
      </c>
      <c r="D339" s="144">
        <v>3.2366422808149999</v>
      </c>
      <c r="E339" s="144">
        <v>1.4918148370203892</v>
      </c>
      <c r="F339" s="144">
        <v>3.6015661310400002</v>
      </c>
      <c r="G339" s="144">
        <v>1.7806971037368198</v>
      </c>
      <c r="H339" s="144">
        <v>2.8154918627727414</v>
      </c>
      <c r="I339" s="144">
        <v>3.1212466076499998</v>
      </c>
      <c r="J339" s="144">
        <v>51.116266955039556</v>
      </c>
      <c r="K339" s="88"/>
    </row>
    <row r="340" spans="1:11" ht="12.6" customHeight="1">
      <c r="A340" s="96" t="s">
        <v>14</v>
      </c>
      <c r="B340" s="144">
        <v>0.28752</v>
      </c>
      <c r="C340" s="144">
        <v>0.60239999999999994</v>
      </c>
      <c r="D340" s="144">
        <v>3.9723253344250002</v>
      </c>
      <c r="E340" s="144">
        <v>0</v>
      </c>
      <c r="F340" s="144">
        <v>0.51066666671119998</v>
      </c>
      <c r="G340" s="144">
        <v>0.4748</v>
      </c>
      <c r="H340" s="144">
        <v>0.32103849652024996</v>
      </c>
      <c r="I340" s="144">
        <v>4.1635583745</v>
      </c>
      <c r="J340" s="144">
        <v>10.332308872156451</v>
      </c>
      <c r="K340" s="88"/>
    </row>
    <row r="341" spans="1:11" ht="12.6" customHeight="1">
      <c r="A341" s="96" t="s">
        <v>15</v>
      </c>
      <c r="B341" s="144">
        <v>0.30280458315546005</v>
      </c>
      <c r="C341" s="144">
        <v>0</v>
      </c>
      <c r="D341" s="144">
        <v>0</v>
      </c>
      <c r="E341" s="144">
        <v>0.18801644199686823</v>
      </c>
      <c r="F341" s="144">
        <v>0</v>
      </c>
      <c r="G341" s="144">
        <v>0</v>
      </c>
      <c r="H341" s="144">
        <v>23.180819925251388</v>
      </c>
      <c r="I341" s="144">
        <v>2.6464815892842313</v>
      </c>
      <c r="J341" s="144">
        <v>26.318122539687945</v>
      </c>
      <c r="K341" s="88"/>
    </row>
    <row r="342" spans="1:11" ht="12.6" customHeight="1">
      <c r="A342" s="96" t="s">
        <v>16</v>
      </c>
      <c r="B342" s="144">
        <v>9.2025432784155736</v>
      </c>
      <c r="C342" s="144">
        <v>0</v>
      </c>
      <c r="D342" s="144">
        <v>34.604405003649326</v>
      </c>
      <c r="E342" s="144">
        <v>1.3821182515307797</v>
      </c>
      <c r="F342" s="144">
        <v>36.962317447226312</v>
      </c>
      <c r="G342" s="144">
        <v>10.4332259895103</v>
      </c>
      <c r="H342" s="144">
        <v>47.986695392505645</v>
      </c>
      <c r="I342" s="144">
        <v>13.68149333560465</v>
      </c>
      <c r="J342" s="144">
        <v>154.25279869844258</v>
      </c>
      <c r="K342" s="88"/>
    </row>
    <row r="343" spans="1:11" ht="12.6" customHeight="1">
      <c r="A343" s="96" t="s">
        <v>17</v>
      </c>
      <c r="B343" s="144">
        <v>1.1167879834999999</v>
      </c>
      <c r="C343" s="144">
        <v>0</v>
      </c>
      <c r="D343" s="144">
        <v>0</v>
      </c>
      <c r="E343" s="144">
        <v>1.1548000996652108</v>
      </c>
      <c r="F343" s="144">
        <v>0.95644524299999989</v>
      </c>
      <c r="G343" s="144">
        <v>0</v>
      </c>
      <c r="H343" s="144">
        <v>150.36759553288255</v>
      </c>
      <c r="I343" s="144">
        <v>0</v>
      </c>
      <c r="J343" s="144">
        <v>153.59562885904776</v>
      </c>
      <c r="K343" s="88"/>
    </row>
    <row r="344" spans="1:11" ht="12.6" customHeight="1">
      <c r="A344" s="96" t="s">
        <v>571</v>
      </c>
      <c r="B344" s="144">
        <v>0</v>
      </c>
      <c r="C344" s="144">
        <v>0</v>
      </c>
      <c r="D344" s="144">
        <v>7.6014993159999988E-2</v>
      </c>
      <c r="E344" s="144">
        <v>1.4917919521274408</v>
      </c>
      <c r="F344" s="144">
        <v>0</v>
      </c>
      <c r="G344" s="144">
        <v>0</v>
      </c>
      <c r="H344" s="144">
        <v>3.1996213734202001</v>
      </c>
      <c r="I344" s="144">
        <v>0.15714999999999998</v>
      </c>
      <c r="J344" s="144">
        <v>4.9245783187076411</v>
      </c>
      <c r="K344" s="88"/>
    </row>
    <row r="345" spans="1:11" ht="12.6" customHeight="1">
      <c r="A345" s="96" t="s">
        <v>18</v>
      </c>
      <c r="B345" s="144">
        <v>1.6058449740524703</v>
      </c>
      <c r="C345" s="144">
        <v>0.52714087813599997</v>
      </c>
      <c r="D345" s="144">
        <v>2.0407999999999999</v>
      </c>
      <c r="E345" s="144">
        <v>0</v>
      </c>
      <c r="F345" s="144">
        <v>0.21114341605087203</v>
      </c>
      <c r="G345" s="144">
        <v>0</v>
      </c>
      <c r="H345" s="144">
        <v>12.634222422333838</v>
      </c>
      <c r="I345" s="144">
        <v>1.032055837957776</v>
      </c>
      <c r="J345" s="144">
        <v>18.051207528530956</v>
      </c>
      <c r="K345" s="88"/>
    </row>
    <row r="346" spans="1:11" ht="12.6" customHeight="1">
      <c r="A346" s="96" t="s">
        <v>19</v>
      </c>
      <c r="B346" s="144">
        <v>9.4808247793600007</v>
      </c>
      <c r="C346" s="144">
        <v>1.7871900000000001</v>
      </c>
      <c r="D346" s="144">
        <v>17.534109063313974</v>
      </c>
      <c r="E346" s="144">
        <v>0</v>
      </c>
      <c r="F346" s="144">
        <v>12.148941117551898</v>
      </c>
      <c r="G346" s="144">
        <v>3.2250298161799997</v>
      </c>
      <c r="H346" s="144">
        <v>113.47740869926191</v>
      </c>
      <c r="I346" s="144">
        <v>0.74308291080936206</v>
      </c>
      <c r="J346" s="144">
        <v>158.39658638647714</v>
      </c>
      <c r="K346" s="88"/>
    </row>
    <row r="347" spans="1:11" ht="12.6" customHeight="1">
      <c r="A347" s="96" t="s">
        <v>564</v>
      </c>
      <c r="B347" s="144">
        <v>3.428448746732994</v>
      </c>
      <c r="C347" s="144">
        <v>1.1023399999999999</v>
      </c>
      <c r="D347" s="144">
        <v>0</v>
      </c>
      <c r="E347" s="144">
        <v>1.0798897224168901E-4</v>
      </c>
      <c r="F347" s="144">
        <v>0</v>
      </c>
      <c r="G347" s="144">
        <v>0</v>
      </c>
      <c r="H347" s="144">
        <v>0.139428313</v>
      </c>
      <c r="I347" s="144">
        <v>0</v>
      </c>
      <c r="J347" s="144">
        <v>4.6703250487052363</v>
      </c>
      <c r="K347" s="88"/>
    </row>
    <row r="348" spans="1:11" ht="12.6" customHeight="1">
      <c r="A348" s="96" t="s">
        <v>20</v>
      </c>
      <c r="B348" s="144">
        <v>21.278051772551436</v>
      </c>
      <c r="C348" s="144">
        <v>15.891575769999998</v>
      </c>
      <c r="D348" s="144">
        <v>0.38843384085838795</v>
      </c>
      <c r="E348" s="144">
        <v>24.418689664063884</v>
      </c>
      <c r="F348" s="144">
        <v>5.2929817811386686</v>
      </c>
      <c r="G348" s="144">
        <v>0.49463387894905497</v>
      </c>
      <c r="H348" s="144">
        <v>144.36967393630854</v>
      </c>
      <c r="I348" s="144">
        <v>30.866121636615148</v>
      </c>
      <c r="J348" s="144">
        <v>243.00016228048531</v>
      </c>
      <c r="K348" s="88"/>
    </row>
    <row r="349" spans="1:11" ht="12.6" customHeight="1">
      <c r="A349" s="96" t="s">
        <v>60</v>
      </c>
      <c r="B349" s="144">
        <v>3.6207414660720798</v>
      </c>
      <c r="C349" s="144">
        <v>0</v>
      </c>
      <c r="D349" s="144">
        <v>0</v>
      </c>
      <c r="E349" s="144">
        <v>0.67943950462998859</v>
      </c>
      <c r="F349" s="144">
        <v>6.4769999999999994E-2</v>
      </c>
      <c r="G349" s="144">
        <v>8.924634584640001E-2</v>
      </c>
      <c r="H349" s="144">
        <v>0.3378011077972492</v>
      </c>
      <c r="I349" s="144">
        <v>1.004809939</v>
      </c>
      <c r="J349" s="144">
        <v>5.7968083633457184</v>
      </c>
      <c r="K349" s="88"/>
    </row>
    <row r="350" spans="1:11" ht="12.6" customHeight="1">
      <c r="A350" s="96" t="s">
        <v>579</v>
      </c>
      <c r="B350" s="144">
        <v>65.073323338370187</v>
      </c>
      <c r="C350" s="144">
        <v>4.5931620077047999</v>
      </c>
      <c r="D350" s="144">
        <v>91.473076052963293</v>
      </c>
      <c r="E350" s="144">
        <v>6.7177937948397952</v>
      </c>
      <c r="F350" s="144">
        <v>72.818429032749506</v>
      </c>
      <c r="G350" s="144">
        <v>16.002999255273519</v>
      </c>
      <c r="H350" s="144">
        <v>460.30808480177996</v>
      </c>
      <c r="I350" s="144">
        <v>26.549878594806021</v>
      </c>
      <c r="J350" s="144">
        <v>743.53674687848707</v>
      </c>
      <c r="K350" s="88"/>
    </row>
    <row r="351" spans="1:11" ht="12.6" customHeight="1">
      <c r="A351" s="154" t="s">
        <v>1313</v>
      </c>
      <c r="B351" s="155">
        <v>66.130273338370102</v>
      </c>
      <c r="C351" s="155">
        <v>4.5931620077048017</v>
      </c>
      <c r="D351" s="155">
        <v>91.473076052963322</v>
      </c>
      <c r="E351" s="155">
        <v>6.8569951609966973</v>
      </c>
      <c r="F351" s="155">
        <v>72.883199032749516</v>
      </c>
      <c r="G351" s="155">
        <v>16.002999255273515</v>
      </c>
      <c r="H351" s="155">
        <v>460.6458859095772</v>
      </c>
      <c r="I351" s="155">
        <v>26.549878594806017</v>
      </c>
      <c r="J351" s="155">
        <v>745.13546935244051</v>
      </c>
      <c r="K351" s="88"/>
    </row>
    <row r="352" spans="1:11" ht="12.6" customHeight="1">
      <c r="A352" s="154" t="s">
        <v>44</v>
      </c>
      <c r="B352" s="155">
        <v>90.836773857654535</v>
      </c>
      <c r="C352" s="155">
        <v>21.587077777704799</v>
      </c>
      <c r="D352" s="155">
        <v>91.861509893821705</v>
      </c>
      <c r="E352" s="155">
        <v>31.275792814032823</v>
      </c>
      <c r="F352" s="155">
        <v>78.17618081388818</v>
      </c>
      <c r="G352" s="155">
        <v>16.497633134222571</v>
      </c>
      <c r="H352" s="155">
        <v>605.15498815888577</v>
      </c>
      <c r="I352" s="155">
        <v>57.416000231421165</v>
      </c>
      <c r="J352" s="155">
        <v>992.80595668163107</v>
      </c>
      <c r="K352" s="88"/>
    </row>
    <row r="353" spans="1:11" ht="12.6" customHeight="1">
      <c r="A353" s="88"/>
      <c r="B353" s="115"/>
      <c r="C353" s="115"/>
      <c r="D353" s="115"/>
      <c r="E353" s="115"/>
      <c r="F353" s="115"/>
      <c r="G353" s="115"/>
      <c r="H353" s="158"/>
      <c r="I353" s="88"/>
      <c r="J353" s="88"/>
      <c r="K353" s="88"/>
    </row>
    <row r="354" spans="1:11" ht="12.6" customHeight="1">
      <c r="A354" s="153" t="s">
        <v>825</v>
      </c>
      <c r="B354" s="153" t="s">
        <v>24</v>
      </c>
      <c r="C354" s="153" t="s">
        <v>566</v>
      </c>
      <c r="D354" s="153" t="s">
        <v>567</v>
      </c>
      <c r="E354" s="153" t="s">
        <v>8</v>
      </c>
      <c r="F354" s="153" t="s">
        <v>568</v>
      </c>
      <c r="G354" s="153" t="s">
        <v>569</v>
      </c>
      <c r="H354" s="153" t="s">
        <v>25</v>
      </c>
      <c r="I354" s="153" t="s">
        <v>92</v>
      </c>
      <c r="J354" s="153" t="s">
        <v>54</v>
      </c>
      <c r="K354" s="88"/>
    </row>
    <row r="355" spans="1:11" ht="12.6" customHeight="1">
      <c r="A355" s="96" t="s">
        <v>11</v>
      </c>
      <c r="B355" s="144">
        <v>0</v>
      </c>
      <c r="C355" s="144">
        <v>0.21440000000000003</v>
      </c>
      <c r="D355" s="144">
        <v>26.291666934399998</v>
      </c>
      <c r="E355" s="144">
        <v>5.4057002359150001E-2</v>
      </c>
      <c r="F355" s="144">
        <v>0</v>
      </c>
      <c r="G355" s="144">
        <v>0</v>
      </c>
      <c r="H355" s="144">
        <v>25.875559178</v>
      </c>
      <c r="I355" s="144">
        <v>0</v>
      </c>
      <c r="J355" s="144">
        <v>52.435683114759151</v>
      </c>
      <c r="K355" s="88"/>
    </row>
    <row r="356" spans="1:11" ht="12.6" customHeight="1">
      <c r="A356" s="96" t="s">
        <v>12</v>
      </c>
      <c r="B356" s="144">
        <v>4.2232954884299998</v>
      </c>
      <c r="C356" s="144">
        <v>1.4342220327355999</v>
      </c>
      <c r="D356" s="144">
        <v>2.0011999999999999</v>
      </c>
      <c r="E356" s="144">
        <v>0.41756115634797958</v>
      </c>
      <c r="F356" s="144">
        <v>16.996451977341401</v>
      </c>
      <c r="G356" s="144">
        <v>0</v>
      </c>
      <c r="H356" s="144">
        <v>95.815736087942526</v>
      </c>
      <c r="I356" s="144">
        <v>0</v>
      </c>
      <c r="J356" s="144">
        <v>120.8884667427975</v>
      </c>
      <c r="K356" s="88"/>
    </row>
    <row r="357" spans="1:11" ht="12.6" customHeight="1">
      <c r="A357" s="96" t="s">
        <v>13</v>
      </c>
      <c r="B357" s="144">
        <v>32.021521571614265</v>
      </c>
      <c r="C357" s="144">
        <v>0</v>
      </c>
      <c r="D357" s="144">
        <v>3.2829197703789994</v>
      </c>
      <c r="E357" s="144">
        <v>1.4925113988224341</v>
      </c>
      <c r="F357" s="144">
        <v>1.6017120143999999</v>
      </c>
      <c r="G357" s="144">
        <v>1.4620128877484202</v>
      </c>
      <c r="H357" s="144">
        <v>2.8262088801719516</v>
      </c>
      <c r="I357" s="144">
        <v>3.1300466076499998</v>
      </c>
      <c r="J357" s="144">
        <v>45.816933130786069</v>
      </c>
      <c r="K357" s="88"/>
    </row>
    <row r="358" spans="1:11" ht="12.6" customHeight="1">
      <c r="A358" s="96" t="s">
        <v>14</v>
      </c>
      <c r="B358" s="144">
        <v>0.28752</v>
      </c>
      <c r="C358" s="144">
        <v>2.0604</v>
      </c>
      <c r="D358" s="144">
        <v>1.7133106271323999</v>
      </c>
      <c r="E358" s="144">
        <v>0</v>
      </c>
      <c r="F358" s="144">
        <v>0.67825028175679991</v>
      </c>
      <c r="G358" s="144">
        <v>0.4748</v>
      </c>
      <c r="H358" s="144">
        <v>0.32103849652024996</v>
      </c>
      <c r="I358" s="144">
        <v>4.1635583745</v>
      </c>
      <c r="J358" s="144">
        <v>9.6988777799094503</v>
      </c>
      <c r="K358" s="88"/>
    </row>
    <row r="359" spans="1:11" ht="12.6" customHeight="1">
      <c r="A359" s="96" t="s">
        <v>15</v>
      </c>
      <c r="B359" s="144">
        <v>9.6716347704594974E-2</v>
      </c>
      <c r="C359" s="144">
        <v>0</v>
      </c>
      <c r="D359" s="144">
        <v>0</v>
      </c>
      <c r="E359" s="144">
        <v>0.19490116899524579</v>
      </c>
      <c r="F359" s="144">
        <v>0</v>
      </c>
      <c r="G359" s="144">
        <v>0</v>
      </c>
      <c r="H359" s="144">
        <v>23.899656795849442</v>
      </c>
      <c r="I359" s="144">
        <v>2.3587209338972115</v>
      </c>
      <c r="J359" s="144">
        <v>26.549995246446496</v>
      </c>
      <c r="K359" s="88"/>
    </row>
    <row r="360" spans="1:11" ht="12.6" customHeight="1">
      <c r="A360" s="96" t="s">
        <v>16</v>
      </c>
      <c r="B360" s="144">
        <v>7.7453169942602456</v>
      </c>
      <c r="C360" s="144">
        <v>0</v>
      </c>
      <c r="D360" s="144">
        <v>26.707488408127936</v>
      </c>
      <c r="E360" s="144">
        <v>1.4257696818171877</v>
      </c>
      <c r="F360" s="144">
        <v>35.663862905102057</v>
      </c>
      <c r="G360" s="144">
        <v>12.64704150090845</v>
      </c>
      <c r="H360" s="144">
        <v>51.463628730278174</v>
      </c>
      <c r="I360" s="144">
        <v>13.716152827108971</v>
      </c>
      <c r="J360" s="144">
        <v>149.369261047603</v>
      </c>
      <c r="K360" s="88"/>
    </row>
    <row r="361" spans="1:11" ht="12.6" customHeight="1">
      <c r="A361" s="96" t="s">
        <v>17</v>
      </c>
      <c r="B361" s="144">
        <v>1.1615780855</v>
      </c>
      <c r="C361" s="144">
        <v>0</v>
      </c>
      <c r="D361" s="144">
        <v>0</v>
      </c>
      <c r="E361" s="144">
        <v>1.1879502748562629</v>
      </c>
      <c r="F361" s="144">
        <v>1.0198329690000001</v>
      </c>
      <c r="G361" s="144">
        <v>0</v>
      </c>
      <c r="H361" s="144">
        <v>151.29685539293442</v>
      </c>
      <c r="I361" s="144">
        <v>0</v>
      </c>
      <c r="J361" s="144">
        <v>154.66621672229067</v>
      </c>
      <c r="K361" s="88"/>
    </row>
    <row r="362" spans="1:11" ht="12.6" customHeight="1">
      <c r="A362" s="96" t="s">
        <v>571</v>
      </c>
      <c r="B362" s="144">
        <v>0</v>
      </c>
      <c r="C362" s="144">
        <v>0</v>
      </c>
      <c r="D362" s="144">
        <v>7.6014993159999988E-2</v>
      </c>
      <c r="E362" s="144">
        <v>1.1785636089530613</v>
      </c>
      <c r="F362" s="144">
        <v>0</v>
      </c>
      <c r="G362" s="144">
        <v>0</v>
      </c>
      <c r="H362" s="144">
        <v>3.1996213734202001</v>
      </c>
      <c r="I362" s="144">
        <v>0.16704999999999998</v>
      </c>
      <c r="J362" s="144">
        <v>4.621249975533261</v>
      </c>
      <c r="K362" s="88"/>
    </row>
    <row r="363" spans="1:11" ht="12.6" customHeight="1">
      <c r="A363" s="96" t="s">
        <v>18</v>
      </c>
      <c r="B363" s="144">
        <v>1.63867364998733</v>
      </c>
      <c r="C363" s="144">
        <v>0.505</v>
      </c>
      <c r="D363" s="144">
        <v>2.11791364436304</v>
      </c>
      <c r="E363" s="144">
        <v>0</v>
      </c>
      <c r="F363" s="144">
        <v>0.22444610570367801</v>
      </c>
      <c r="G363" s="144">
        <v>0</v>
      </c>
      <c r="H363" s="144">
        <v>11.6753867460144</v>
      </c>
      <c r="I363" s="144">
        <v>1.1927111275736619</v>
      </c>
      <c r="J363" s="144">
        <v>17.354131273642111</v>
      </c>
      <c r="K363" s="88"/>
    </row>
    <row r="364" spans="1:11" ht="12.6" customHeight="1">
      <c r="A364" s="96" t="s">
        <v>19</v>
      </c>
      <c r="B364" s="144">
        <v>7.9288095874699991</v>
      </c>
      <c r="C364" s="144">
        <v>2.0351900000000001</v>
      </c>
      <c r="D364" s="144">
        <v>16.189469083802717</v>
      </c>
      <c r="E364" s="144">
        <v>0</v>
      </c>
      <c r="F364" s="144">
        <v>11.784447190844498</v>
      </c>
      <c r="G364" s="144">
        <v>3.3424927897199996</v>
      </c>
      <c r="H364" s="144">
        <v>102.26315278114619</v>
      </c>
      <c r="I364" s="144">
        <v>0.83172775326238702</v>
      </c>
      <c r="J364" s="144">
        <v>144.37528918624579</v>
      </c>
      <c r="K364" s="88"/>
    </row>
    <row r="365" spans="1:11" ht="12.6" customHeight="1">
      <c r="A365" s="96" t="s">
        <v>564</v>
      </c>
      <c r="B365" s="144">
        <v>3.4052185923153284</v>
      </c>
      <c r="C365" s="144">
        <v>1.1023399999999999</v>
      </c>
      <c r="D365" s="144">
        <v>0</v>
      </c>
      <c r="E365" s="144">
        <v>1.0798897224168901E-4</v>
      </c>
      <c r="F365" s="144">
        <v>0</v>
      </c>
      <c r="G365" s="144">
        <v>0</v>
      </c>
      <c r="H365" s="144">
        <v>0.15294590749</v>
      </c>
      <c r="I365" s="144">
        <v>0</v>
      </c>
      <c r="J365" s="144">
        <v>4.66061248877757</v>
      </c>
      <c r="K365" s="88"/>
    </row>
    <row r="366" spans="1:11" ht="12.6" customHeight="1">
      <c r="A366" s="96" t="s">
        <v>20</v>
      </c>
      <c r="B366" s="144">
        <v>20.670227512495767</v>
      </c>
      <c r="C366" s="144">
        <v>18.692888584999999</v>
      </c>
      <c r="D366" s="144">
        <v>0.4776266030125268</v>
      </c>
      <c r="E366" s="144">
        <v>24.332639364672026</v>
      </c>
      <c r="F366" s="144">
        <v>4.6060865962260884</v>
      </c>
      <c r="G366" s="144">
        <v>0.52244445098713599</v>
      </c>
      <c r="H366" s="144">
        <v>149.48735574170993</v>
      </c>
      <c r="I366" s="144">
        <v>30.82502289162753</v>
      </c>
      <c r="J366" s="144">
        <v>249.61429174573104</v>
      </c>
      <c r="K366" s="88"/>
    </row>
    <row r="367" spans="1:11" ht="12.6" customHeight="1">
      <c r="A367" s="96" t="s">
        <v>60</v>
      </c>
      <c r="B367" s="144">
        <v>2.7164245304145602</v>
      </c>
      <c r="C367" s="144">
        <v>0</v>
      </c>
      <c r="D367" s="144">
        <v>0</v>
      </c>
      <c r="E367" s="144">
        <v>0.68109566012977008</v>
      </c>
      <c r="F367" s="144">
        <v>0.20334495415874299</v>
      </c>
      <c r="G367" s="144">
        <v>0.10896188613137001</v>
      </c>
      <c r="H367" s="144">
        <v>0.34399678422439883</v>
      </c>
      <c r="I367" s="144">
        <v>1.5048099390000003</v>
      </c>
      <c r="J367" s="144">
        <v>5.5586337540588433</v>
      </c>
      <c r="K367" s="88"/>
    </row>
    <row r="368" spans="1:11" ht="12.6" customHeight="1">
      <c r="A368" s="96" t="s">
        <v>579</v>
      </c>
      <c r="B368" s="144">
        <v>56.76290625538099</v>
      </c>
      <c r="C368" s="144">
        <v>6.2492120327356</v>
      </c>
      <c r="D368" s="144">
        <v>78.379983461365086</v>
      </c>
      <c r="E368" s="144">
        <v>6.4926772916941875</v>
      </c>
      <c r="F368" s="144">
        <v>67.969003444148427</v>
      </c>
      <c r="G368" s="144">
        <v>18.03530906450824</v>
      </c>
      <c r="H368" s="144">
        <v>468.63684446227762</v>
      </c>
      <c r="I368" s="144">
        <v>27.064777562992234</v>
      </c>
      <c r="J368" s="144">
        <v>729.59071357510231</v>
      </c>
      <c r="K368" s="88"/>
    </row>
    <row r="369" spans="1:11" ht="12.6" customHeight="1">
      <c r="A369" s="154" t="s">
        <v>1313</v>
      </c>
      <c r="B369" s="155">
        <v>57.819856255380991</v>
      </c>
      <c r="C369" s="155">
        <v>6.2492120327356009</v>
      </c>
      <c r="D369" s="155">
        <v>78.379983461365086</v>
      </c>
      <c r="E369" s="155">
        <v>6.6324099522810913</v>
      </c>
      <c r="F369" s="155">
        <v>68.172348398307179</v>
      </c>
      <c r="G369" s="155">
        <v>18.035309064508237</v>
      </c>
      <c r="H369" s="155">
        <v>468.980841246502</v>
      </c>
      <c r="I369" s="155">
        <v>27.06477756299223</v>
      </c>
      <c r="J369" s="155">
        <v>731.33473797407225</v>
      </c>
      <c r="K369" s="88"/>
    </row>
    <row r="370" spans="1:11" ht="12.6" customHeight="1">
      <c r="A370" s="154" t="s">
        <v>44</v>
      </c>
      <c r="B370" s="155">
        <v>81.89530236019209</v>
      </c>
      <c r="C370" s="155">
        <v>26.044440617735599</v>
      </c>
      <c r="D370" s="155">
        <v>78.85761006437761</v>
      </c>
      <c r="E370" s="155">
        <v>30.965157305925359</v>
      </c>
      <c r="F370" s="155">
        <v>72.778434994533271</v>
      </c>
      <c r="G370" s="155">
        <v>18.557753515495374</v>
      </c>
      <c r="H370" s="155">
        <v>618.62114289570195</v>
      </c>
      <c r="I370" s="155">
        <v>57.88980045461976</v>
      </c>
      <c r="J370" s="155">
        <v>985.60964220858091</v>
      </c>
      <c r="K370" s="88"/>
    </row>
    <row r="371" spans="1:11" ht="12.6" customHeight="1">
      <c r="A371" s="156"/>
      <c r="B371" s="115"/>
      <c r="C371" s="115"/>
      <c r="D371" s="115"/>
      <c r="E371" s="115"/>
      <c r="F371" s="115"/>
      <c r="G371" s="115"/>
      <c r="H371" s="88"/>
      <c r="I371" s="88"/>
      <c r="J371" s="88"/>
      <c r="K371" s="88"/>
    </row>
    <row r="372" spans="1:11" ht="12.6" customHeight="1">
      <c r="A372" s="153" t="s">
        <v>787</v>
      </c>
      <c r="B372" s="153" t="s">
        <v>24</v>
      </c>
      <c r="C372" s="153" t="s">
        <v>566</v>
      </c>
      <c r="D372" s="153" t="s">
        <v>567</v>
      </c>
      <c r="E372" s="153" t="s">
        <v>8</v>
      </c>
      <c r="F372" s="153" t="s">
        <v>568</v>
      </c>
      <c r="G372" s="153" t="s">
        <v>569</v>
      </c>
      <c r="H372" s="153" t="s">
        <v>25</v>
      </c>
      <c r="I372" s="153" t="s">
        <v>92</v>
      </c>
      <c r="J372" s="153" t="s">
        <v>54</v>
      </c>
      <c r="K372" s="88"/>
    </row>
    <row r="373" spans="1:11" ht="12.6" customHeight="1">
      <c r="A373" s="96" t="s">
        <v>11</v>
      </c>
      <c r="B373" s="144">
        <v>0</v>
      </c>
      <c r="C373" s="144">
        <v>0.21440000000000003</v>
      </c>
      <c r="D373" s="144">
        <v>21.341024665600003</v>
      </c>
      <c r="E373" s="144">
        <v>5.5490240932000001E-2</v>
      </c>
      <c r="F373" s="144">
        <v>0</v>
      </c>
      <c r="G373" s="144">
        <v>0</v>
      </c>
      <c r="H373" s="144">
        <v>29.1573152308336</v>
      </c>
      <c r="I373" s="144">
        <v>0</v>
      </c>
      <c r="J373" s="155">
        <v>50.768230137365599</v>
      </c>
      <c r="K373" s="88"/>
    </row>
    <row r="374" spans="1:11" ht="12.6" customHeight="1">
      <c r="A374" s="96" t="s">
        <v>12</v>
      </c>
      <c r="B374" s="144">
        <v>4.5584474240699997</v>
      </c>
      <c r="C374" s="144">
        <v>1.3703802373142051</v>
      </c>
      <c r="D374" s="144">
        <v>2.0011999999999999</v>
      </c>
      <c r="E374" s="144">
        <v>0.41822135847152342</v>
      </c>
      <c r="F374" s="144">
        <v>15.606585499449997</v>
      </c>
      <c r="G374" s="144">
        <v>0</v>
      </c>
      <c r="H374" s="144">
        <v>92.277369326101734</v>
      </c>
      <c r="I374" s="144">
        <v>0</v>
      </c>
      <c r="J374" s="155">
        <v>116.23220384540747</v>
      </c>
      <c r="K374" s="88"/>
    </row>
    <row r="375" spans="1:11" ht="12.6" customHeight="1">
      <c r="A375" s="96" t="s">
        <v>13</v>
      </c>
      <c r="B375" s="144">
        <v>34.25904018654488</v>
      </c>
      <c r="C375" s="144">
        <v>0</v>
      </c>
      <c r="D375" s="144">
        <v>3.4042750590186999</v>
      </c>
      <c r="E375" s="144">
        <v>1.5243364693785044</v>
      </c>
      <c r="F375" s="144">
        <v>2.3299245792100005</v>
      </c>
      <c r="G375" s="144">
        <v>1.61890855561196</v>
      </c>
      <c r="H375" s="144">
        <v>2.8672035785511216</v>
      </c>
      <c r="I375" s="144">
        <v>3.1300466076499998</v>
      </c>
      <c r="J375" s="155">
        <v>49.133735035965167</v>
      </c>
      <c r="K375" s="88"/>
    </row>
    <row r="376" spans="1:11" ht="12.6" customHeight="1">
      <c r="A376" s="96" t="s">
        <v>14</v>
      </c>
      <c r="B376" s="144">
        <v>0.10112</v>
      </c>
      <c r="C376" s="144">
        <v>2.0604</v>
      </c>
      <c r="D376" s="144">
        <v>3.9723253344250002</v>
      </c>
      <c r="E376" s="144">
        <v>0</v>
      </c>
      <c r="F376" s="144">
        <v>1.5201836150628798</v>
      </c>
      <c r="G376" s="144">
        <v>0.4748</v>
      </c>
      <c r="H376" s="144">
        <v>0.34019524576737498</v>
      </c>
      <c r="I376" s="144">
        <v>4.1635583745</v>
      </c>
      <c r="J376" s="155">
        <v>12.632582569755256</v>
      </c>
      <c r="K376" s="88"/>
    </row>
    <row r="377" spans="1:11" ht="12.6" customHeight="1">
      <c r="A377" s="96" t="s">
        <v>15</v>
      </c>
      <c r="B377" s="144">
        <v>0.12612817184511199</v>
      </c>
      <c r="C377" s="144">
        <v>0</v>
      </c>
      <c r="D377" s="144">
        <v>0</v>
      </c>
      <c r="E377" s="144">
        <v>0.19889071800446159</v>
      </c>
      <c r="F377" s="144">
        <v>0</v>
      </c>
      <c r="G377" s="144">
        <v>0</v>
      </c>
      <c r="H377" s="144">
        <v>25.281492301244548</v>
      </c>
      <c r="I377" s="144">
        <v>2.3825613114388768</v>
      </c>
      <c r="J377" s="155">
        <v>27.989072502532995</v>
      </c>
      <c r="K377" s="88"/>
    </row>
    <row r="378" spans="1:11" ht="12.6" customHeight="1">
      <c r="A378" s="96" t="s">
        <v>16</v>
      </c>
      <c r="B378" s="144">
        <v>7.5698217238838206</v>
      </c>
      <c r="C378" s="144">
        <v>0</v>
      </c>
      <c r="D378" s="144">
        <v>26.831907536603019</v>
      </c>
      <c r="E378" s="144">
        <v>1.4507196663324498</v>
      </c>
      <c r="F378" s="144">
        <v>36.841651503611416</v>
      </c>
      <c r="G378" s="144">
        <v>12.983467515623801</v>
      </c>
      <c r="H378" s="144">
        <v>53.188691824750784</v>
      </c>
      <c r="I378" s="144">
        <v>13.804656856765142</v>
      </c>
      <c r="J378" s="155">
        <v>152.67091662757042</v>
      </c>
      <c r="K378" s="88"/>
    </row>
    <row r="379" spans="1:11" ht="12.6" customHeight="1">
      <c r="A379" s="96" t="s">
        <v>17</v>
      </c>
      <c r="B379" s="144">
        <v>1.2032458287499999</v>
      </c>
      <c r="C379" s="144">
        <v>0</v>
      </c>
      <c r="D379" s="144">
        <v>0</v>
      </c>
      <c r="E379" s="144">
        <v>1.1930927764879533</v>
      </c>
      <c r="F379" s="144">
        <v>1.0440772089999999</v>
      </c>
      <c r="G379" s="144">
        <v>0</v>
      </c>
      <c r="H379" s="144">
        <v>157.22299313352195</v>
      </c>
      <c r="I379" s="144">
        <v>0</v>
      </c>
      <c r="J379" s="155">
        <v>160.66340894775988</v>
      </c>
      <c r="K379" s="88"/>
    </row>
    <row r="380" spans="1:11" ht="12.6" customHeight="1">
      <c r="A380" s="96" t="s">
        <v>571</v>
      </c>
      <c r="B380" s="144">
        <v>0</v>
      </c>
      <c r="C380" s="144">
        <v>0</v>
      </c>
      <c r="D380" s="144">
        <v>0.10356548478039999</v>
      </c>
      <c r="E380" s="144">
        <v>1.2012676291922351</v>
      </c>
      <c r="F380" s="144">
        <v>0</v>
      </c>
      <c r="G380" s="144">
        <v>0</v>
      </c>
      <c r="H380" s="144">
        <v>3.1996213734202001</v>
      </c>
      <c r="I380" s="144">
        <v>0.16705</v>
      </c>
      <c r="J380" s="155">
        <v>4.6715044873928351</v>
      </c>
      <c r="K380" s="88"/>
    </row>
    <row r="381" spans="1:11" ht="12.6" customHeight="1">
      <c r="A381" s="96" t="s">
        <v>18</v>
      </c>
      <c r="B381" s="144">
        <v>1.0908400820783299</v>
      </c>
      <c r="C381" s="144">
        <v>0</v>
      </c>
      <c r="D381" s="144">
        <v>2.12120806579312</v>
      </c>
      <c r="E381" s="144">
        <v>0</v>
      </c>
      <c r="F381" s="144">
        <v>0.23802004003506802</v>
      </c>
      <c r="G381" s="144">
        <v>0</v>
      </c>
      <c r="H381" s="144">
        <v>11.924649754640575</v>
      </c>
      <c r="I381" s="144">
        <v>1.3344491284669509</v>
      </c>
      <c r="J381" s="155">
        <v>16.709167071014047</v>
      </c>
      <c r="K381" s="88"/>
    </row>
    <row r="382" spans="1:11" ht="12.6" customHeight="1">
      <c r="A382" s="96" t="s">
        <v>19</v>
      </c>
      <c r="B382" s="144">
        <v>7.8903330036500021</v>
      </c>
      <c r="C382" s="144">
        <v>1.7452800000000002</v>
      </c>
      <c r="D382" s="144">
        <v>17.04519522699022</v>
      </c>
      <c r="E382" s="144">
        <v>0</v>
      </c>
      <c r="F382" s="144">
        <v>12.066817112594299</v>
      </c>
      <c r="G382" s="144">
        <v>1.36535078558</v>
      </c>
      <c r="H382" s="144">
        <v>99.91823776609354</v>
      </c>
      <c r="I382" s="144">
        <v>0.91539689225431009</v>
      </c>
      <c r="J382" s="155">
        <v>140.94661078716237</v>
      </c>
      <c r="K382" s="88"/>
    </row>
    <row r="383" spans="1:11" ht="12.6" customHeight="1">
      <c r="A383" s="96" t="s">
        <v>564</v>
      </c>
      <c r="B383" s="144">
        <v>3.124943093152631</v>
      </c>
      <c r="C383" s="144">
        <v>1.1023399999999999</v>
      </c>
      <c r="D383" s="144">
        <v>0</v>
      </c>
      <c r="E383" s="144">
        <v>1.0798897224168901E-4</v>
      </c>
      <c r="F383" s="144">
        <v>0</v>
      </c>
      <c r="G383" s="144">
        <v>0</v>
      </c>
      <c r="H383" s="144">
        <v>0.15370454507</v>
      </c>
      <c r="I383" s="144">
        <v>0</v>
      </c>
      <c r="J383" s="155">
        <v>4.3810956271948731</v>
      </c>
      <c r="K383" s="88"/>
    </row>
    <row r="384" spans="1:11" ht="12.6" customHeight="1">
      <c r="A384" s="96" t="s">
        <v>20</v>
      </c>
      <c r="B384" s="144">
        <v>21.605400706889878</v>
      </c>
      <c r="C384" s="144">
        <v>19.779243584999996</v>
      </c>
      <c r="D384" s="144">
        <v>0.57589996846314639</v>
      </c>
      <c r="E384" s="144">
        <v>23.973018067357586</v>
      </c>
      <c r="F384" s="144">
        <v>4.4082197770420217</v>
      </c>
      <c r="G384" s="144">
        <v>0.53792294121750506</v>
      </c>
      <c r="H384" s="144">
        <v>154.38358192734421</v>
      </c>
      <c r="I384" s="144">
        <v>31.469141232294078</v>
      </c>
      <c r="J384" s="155">
        <v>256.73242820560841</v>
      </c>
      <c r="K384" s="88"/>
    </row>
    <row r="385" spans="1:11" ht="12.6" customHeight="1">
      <c r="A385" s="96" t="s">
        <v>60</v>
      </c>
      <c r="B385" s="144">
        <v>2.8879118528301602</v>
      </c>
      <c r="C385" s="144">
        <v>0</v>
      </c>
      <c r="D385" s="144">
        <v>0</v>
      </c>
      <c r="E385" s="144">
        <v>0.68193762515173229</v>
      </c>
      <c r="F385" s="144">
        <v>0.23252318476582998</v>
      </c>
      <c r="G385" s="144">
        <v>0.12827075678950001</v>
      </c>
      <c r="H385" s="144">
        <v>0.353933952325026</v>
      </c>
      <c r="I385" s="144">
        <v>1.5182310990000001</v>
      </c>
      <c r="J385" s="155">
        <v>5.8028084708622485</v>
      </c>
      <c r="K385" s="88"/>
    </row>
    <row r="386" spans="1:11" ht="12.6" customHeight="1">
      <c r="A386" s="96" t="s">
        <v>579</v>
      </c>
      <c r="B386" s="144">
        <v>58.6299382736523</v>
      </c>
      <c r="C386" s="144">
        <v>5.3904602373142048</v>
      </c>
      <c r="D386" s="144">
        <v>76.820701373210468</v>
      </c>
      <c r="E386" s="144">
        <v>6.5836995006169579</v>
      </c>
      <c r="F386" s="144">
        <v>69.647259558963668</v>
      </c>
      <c r="G386" s="144">
        <v>16.570797613605265</v>
      </c>
      <c r="H386" s="144">
        <v>475.37776953492545</v>
      </c>
      <c r="I386" s="144">
        <v>27.415950270075278</v>
      </c>
      <c r="J386" s="155">
        <v>736.43657636236355</v>
      </c>
      <c r="K386" s="88"/>
    </row>
    <row r="387" spans="1:11" ht="12.6" customHeight="1">
      <c r="A387" s="154" t="s">
        <v>1313</v>
      </c>
      <c r="B387" s="155">
        <v>59.686888273652308</v>
      </c>
      <c r="C387" s="155">
        <v>5.3904602373142101</v>
      </c>
      <c r="D387" s="155">
        <v>76.820701373210468</v>
      </c>
      <c r="E387" s="155">
        <v>6.7239564839508548</v>
      </c>
      <c r="F387" s="155">
        <v>69.879782743729493</v>
      </c>
      <c r="G387" s="155">
        <v>16.570797613605258</v>
      </c>
      <c r="H387" s="155">
        <v>475.7317034872504</v>
      </c>
      <c r="I387" s="155">
        <v>27.415950270075271</v>
      </c>
      <c r="J387" s="155">
        <v>738.22024048278843</v>
      </c>
      <c r="K387" s="88"/>
    </row>
    <row r="388" spans="1:11" ht="12.6" customHeight="1">
      <c r="A388" s="154" t="s">
        <v>44</v>
      </c>
      <c r="B388" s="155">
        <v>84.417232073694819</v>
      </c>
      <c r="C388" s="155">
        <v>26.272043822314206</v>
      </c>
      <c r="D388" s="155">
        <v>77.396601341673616</v>
      </c>
      <c r="E388" s="155">
        <v>30.697082540280682</v>
      </c>
      <c r="F388" s="155">
        <v>74.288002520771514</v>
      </c>
      <c r="G388" s="155">
        <v>17.108720554822764</v>
      </c>
      <c r="H388" s="155">
        <v>630.26898995966462</v>
      </c>
      <c r="I388" s="155">
        <v>58.885091502369349</v>
      </c>
      <c r="J388" s="155">
        <v>999.33376431559168</v>
      </c>
      <c r="K388" s="88"/>
    </row>
    <row r="389" spans="1:11" ht="12.6" customHeight="1">
      <c r="A389" s="156"/>
      <c r="B389" s="115"/>
      <c r="C389" s="115"/>
      <c r="D389" s="115"/>
      <c r="E389" s="115"/>
      <c r="F389" s="115"/>
      <c r="G389" s="115"/>
      <c r="H389" s="88"/>
      <c r="I389" s="88"/>
      <c r="J389" s="88"/>
      <c r="K389" s="88"/>
    </row>
    <row r="390" spans="1:11" ht="12.6" customHeight="1">
      <c r="A390" s="153" t="s">
        <v>561</v>
      </c>
      <c r="B390" s="153" t="s">
        <v>24</v>
      </c>
      <c r="C390" s="153" t="s">
        <v>566</v>
      </c>
      <c r="D390" s="153" t="s">
        <v>567</v>
      </c>
      <c r="E390" s="153" t="s">
        <v>8</v>
      </c>
      <c r="F390" s="153" t="s">
        <v>568</v>
      </c>
      <c r="G390" s="153" t="s">
        <v>569</v>
      </c>
      <c r="H390" s="153" t="s">
        <v>25</v>
      </c>
      <c r="I390" s="153" t="s">
        <v>92</v>
      </c>
      <c r="J390" s="153" t="s">
        <v>54</v>
      </c>
      <c r="K390" s="88"/>
    </row>
    <row r="391" spans="1:11" ht="12.6" customHeight="1">
      <c r="A391" s="96" t="s">
        <v>11</v>
      </c>
      <c r="B391" s="144">
        <v>0</v>
      </c>
      <c r="C391" s="144">
        <v>0.21440000000000003</v>
      </c>
      <c r="D391" s="144">
        <v>21.443730704</v>
      </c>
      <c r="E391" s="144">
        <v>5.6906622152800006E-2</v>
      </c>
      <c r="F391" s="144">
        <v>0</v>
      </c>
      <c r="G391" s="144">
        <v>0</v>
      </c>
      <c r="H391" s="144">
        <v>29.801154115433597</v>
      </c>
      <c r="I391" s="144">
        <v>0</v>
      </c>
      <c r="J391" s="155">
        <v>51.5161914415864</v>
      </c>
      <c r="K391" s="88"/>
    </row>
    <row r="392" spans="1:11" ht="12.6" customHeight="1">
      <c r="A392" s="96" t="s">
        <v>12</v>
      </c>
      <c r="B392" s="144">
        <v>4.9706300300700006</v>
      </c>
      <c r="C392" s="144">
        <v>1.3886973505144999</v>
      </c>
      <c r="D392" s="144">
        <v>2.0011999999999999</v>
      </c>
      <c r="E392" s="144">
        <v>0.43383288821210925</v>
      </c>
      <c r="F392" s="144">
        <v>15.458449129189999</v>
      </c>
      <c r="G392" s="144">
        <v>0</v>
      </c>
      <c r="H392" s="144">
        <v>93.211438566838424</v>
      </c>
      <c r="I392" s="144">
        <v>0</v>
      </c>
      <c r="J392" s="155">
        <v>117.46424796482503</v>
      </c>
      <c r="K392" s="88"/>
    </row>
    <row r="393" spans="1:11" ht="12.6" customHeight="1">
      <c r="A393" s="96" t="s">
        <v>13</v>
      </c>
      <c r="B393" s="144">
        <v>32.024694304619125</v>
      </c>
      <c r="C393" s="144">
        <v>0</v>
      </c>
      <c r="D393" s="144">
        <v>2.3545393920793001</v>
      </c>
      <c r="E393" s="144">
        <v>1.5399082355673233</v>
      </c>
      <c r="F393" s="144">
        <v>2.7075291159999995</v>
      </c>
      <c r="G393" s="144">
        <v>1.82678930092783</v>
      </c>
      <c r="H393" s="144">
        <v>2.8775470795686613</v>
      </c>
      <c r="I393" s="144">
        <v>3.1435727399999998</v>
      </c>
      <c r="J393" s="155">
        <v>46.47458016876223</v>
      </c>
      <c r="K393" s="88"/>
    </row>
    <row r="394" spans="1:11" ht="12.6" customHeight="1">
      <c r="A394" s="96" t="s">
        <v>14</v>
      </c>
      <c r="B394" s="144">
        <v>0.10112</v>
      </c>
      <c r="C394" s="144">
        <v>2.0604</v>
      </c>
      <c r="D394" s="144">
        <v>3.9723253344250002</v>
      </c>
      <c r="E394" s="144">
        <v>0</v>
      </c>
      <c r="F394" s="144">
        <v>1.5260469594380797</v>
      </c>
      <c r="G394" s="144">
        <v>0.4748</v>
      </c>
      <c r="H394" s="144">
        <v>0.36048624269859497</v>
      </c>
      <c r="I394" s="144">
        <v>4.1635583745</v>
      </c>
      <c r="J394" s="155">
        <v>12.658736911061675</v>
      </c>
      <c r="K394" s="88"/>
    </row>
    <row r="395" spans="1:11" ht="12.6" customHeight="1">
      <c r="A395" s="96" t="s">
        <v>15</v>
      </c>
      <c r="B395" s="144">
        <v>0.14416810815676098</v>
      </c>
      <c r="C395" s="144">
        <v>0</v>
      </c>
      <c r="D395" s="144">
        <v>0</v>
      </c>
      <c r="E395" s="144">
        <v>0.24778582962706941</v>
      </c>
      <c r="F395" s="144">
        <v>0</v>
      </c>
      <c r="G395" s="144">
        <v>0</v>
      </c>
      <c r="H395" s="144">
        <v>24.839622112912433</v>
      </c>
      <c r="I395" s="144">
        <v>2.4105362905082295</v>
      </c>
      <c r="J395" s="155">
        <v>27.642112341204491</v>
      </c>
      <c r="K395" s="88"/>
    </row>
    <row r="396" spans="1:11" ht="12.6" customHeight="1">
      <c r="A396" s="96" t="s">
        <v>16</v>
      </c>
      <c r="B396" s="144">
        <v>7.8300225768205944</v>
      </c>
      <c r="C396" s="144">
        <v>0</v>
      </c>
      <c r="D396" s="144">
        <v>26.66292917600142</v>
      </c>
      <c r="E396" s="144">
        <v>1.4546885627416108</v>
      </c>
      <c r="F396" s="144">
        <v>27.648400165721323</v>
      </c>
      <c r="G396" s="144">
        <v>12.333777813753951</v>
      </c>
      <c r="H396" s="144">
        <v>55.039300217889959</v>
      </c>
      <c r="I396" s="144">
        <v>13.842770792344146</v>
      </c>
      <c r="J396" s="155">
        <v>144.81188930527301</v>
      </c>
      <c r="K396" s="88"/>
    </row>
    <row r="397" spans="1:11" ht="12.6" customHeight="1">
      <c r="A397" s="96" t="s">
        <v>17</v>
      </c>
      <c r="B397" s="144">
        <v>0.71764609999999995</v>
      </c>
      <c r="C397" s="144">
        <v>0</v>
      </c>
      <c r="D397" s="144">
        <v>0</v>
      </c>
      <c r="E397" s="144">
        <v>1.2909348031588335</v>
      </c>
      <c r="F397" s="144">
        <v>1.1615492810019996</v>
      </c>
      <c r="G397" s="144">
        <v>0</v>
      </c>
      <c r="H397" s="144">
        <v>156.85502952589596</v>
      </c>
      <c r="I397" s="144">
        <v>0</v>
      </c>
      <c r="J397" s="155">
        <v>160.02515971005678</v>
      </c>
      <c r="K397" s="88"/>
    </row>
    <row r="398" spans="1:11" ht="12.6" customHeight="1">
      <c r="A398" s="96" t="s">
        <v>571</v>
      </c>
      <c r="B398" s="144">
        <v>0</v>
      </c>
      <c r="C398" s="144">
        <v>0</v>
      </c>
      <c r="D398" s="144">
        <v>0.10356548478039999</v>
      </c>
      <c r="E398" s="144">
        <v>1.2558280251767986</v>
      </c>
      <c r="F398" s="144">
        <v>0</v>
      </c>
      <c r="G398" s="144">
        <v>0</v>
      </c>
      <c r="H398" s="144">
        <v>3.1399445198610003</v>
      </c>
      <c r="I398" s="144">
        <v>0.17695</v>
      </c>
      <c r="J398" s="155">
        <v>4.676288029818199</v>
      </c>
      <c r="K398" s="88"/>
    </row>
    <row r="399" spans="1:11" ht="12.6" customHeight="1">
      <c r="A399" s="96" t="s">
        <v>18</v>
      </c>
      <c r="B399" s="144">
        <v>1.12817172084382</v>
      </c>
      <c r="C399" s="144">
        <v>0</v>
      </c>
      <c r="D399" s="144">
        <v>2.13027583140176</v>
      </c>
      <c r="E399" s="144">
        <v>0</v>
      </c>
      <c r="F399" s="144">
        <v>0.25288577363223103</v>
      </c>
      <c r="G399" s="144">
        <v>0</v>
      </c>
      <c r="H399" s="144">
        <v>11.829016499787519</v>
      </c>
      <c r="I399" s="144">
        <v>1.5057868679895101</v>
      </c>
      <c r="J399" s="155">
        <v>16.846136693654845</v>
      </c>
      <c r="K399" s="88"/>
    </row>
    <row r="400" spans="1:11" ht="12.6" customHeight="1">
      <c r="A400" s="96" t="s">
        <v>19</v>
      </c>
      <c r="B400" s="144">
        <v>7.3106286882500013</v>
      </c>
      <c r="C400" s="144">
        <v>1.7452800000000002</v>
      </c>
      <c r="D400" s="144">
        <v>17.84226627071164</v>
      </c>
      <c r="E400" s="144">
        <v>0</v>
      </c>
      <c r="F400" s="144">
        <v>7.0007069809771991</v>
      </c>
      <c r="G400" s="144">
        <v>1.49559491897</v>
      </c>
      <c r="H400" s="144">
        <v>101.92834431692317</v>
      </c>
      <c r="I400" s="144">
        <v>0.96491264069069393</v>
      </c>
      <c r="J400" s="155">
        <v>138.28773381652269</v>
      </c>
      <c r="K400" s="88"/>
    </row>
    <row r="401" spans="1:11" ht="12.6" customHeight="1">
      <c r="A401" s="96" t="s">
        <v>564</v>
      </c>
      <c r="B401" s="144">
        <v>3.1363504551164634</v>
      </c>
      <c r="C401" s="144">
        <v>0.91578000000000004</v>
      </c>
      <c r="D401" s="144">
        <v>0</v>
      </c>
      <c r="E401" s="144">
        <v>1.5514785261862892E-2</v>
      </c>
      <c r="F401" s="144">
        <v>0</v>
      </c>
      <c r="G401" s="144">
        <v>0</v>
      </c>
      <c r="H401" s="144">
        <v>0.15752227195000001</v>
      </c>
      <c r="I401" s="144">
        <v>0</v>
      </c>
      <c r="J401" s="155">
        <v>4.2251675123283263</v>
      </c>
      <c r="K401" s="88"/>
    </row>
    <row r="402" spans="1:11" ht="12.6" customHeight="1">
      <c r="A402" s="96" t="s">
        <v>20</v>
      </c>
      <c r="B402" s="144">
        <v>20.987397383949791</v>
      </c>
      <c r="C402" s="144">
        <v>20.051963584999999</v>
      </c>
      <c r="D402" s="144">
        <v>0.64544896695316889</v>
      </c>
      <c r="E402" s="144">
        <v>24.311417634126663</v>
      </c>
      <c r="F402" s="144">
        <v>4.8231623634418925</v>
      </c>
      <c r="G402" s="144">
        <v>0.57396270672494099</v>
      </c>
      <c r="H402" s="144">
        <v>156.72202951839088</v>
      </c>
      <c r="I402" s="144">
        <v>31.5840417182695</v>
      </c>
      <c r="J402" s="155">
        <v>259.699423876857</v>
      </c>
      <c r="K402" s="88"/>
    </row>
    <row r="403" spans="1:11" ht="12.6" customHeight="1">
      <c r="A403" s="96" t="s">
        <v>60</v>
      </c>
      <c r="B403" s="144">
        <v>3.0816707643132699</v>
      </c>
      <c r="C403" s="144">
        <v>0</v>
      </c>
      <c r="D403" s="144">
        <v>0</v>
      </c>
      <c r="E403" s="144">
        <v>0.82234218773454282</v>
      </c>
      <c r="F403" s="144">
        <v>0.26201530696917996</v>
      </c>
      <c r="G403" s="144">
        <v>0.14957844317608998</v>
      </c>
      <c r="H403" s="144">
        <v>0.47470995094305135</v>
      </c>
      <c r="I403" s="144">
        <v>1.5182310990000001</v>
      </c>
      <c r="J403" s="155">
        <v>6.3085477521361337</v>
      </c>
      <c r="K403" s="88"/>
    </row>
    <row r="404" spans="1:11" ht="12.6" customHeight="1">
      <c r="A404" s="96" t="s">
        <v>579</v>
      </c>
      <c r="B404" s="144">
        <v>56.251802293073567</v>
      </c>
      <c r="C404" s="144">
        <v>5.4087773505145007</v>
      </c>
      <c r="D404" s="144">
        <v>76.510832193399537</v>
      </c>
      <c r="E404" s="144">
        <v>6.9614527284456846</v>
      </c>
      <c r="F404" s="144">
        <v>55.755567405960825</v>
      </c>
      <c r="G404" s="144">
        <v>16.280540476827873</v>
      </c>
      <c r="H404" s="144">
        <v>479.88188319780932</v>
      </c>
      <c r="I404" s="144">
        <v>27.72631880503258</v>
      </c>
      <c r="J404" s="155">
        <v>724.77717445106396</v>
      </c>
      <c r="K404" s="88"/>
    </row>
    <row r="405" spans="1:11" ht="12.6" customHeight="1">
      <c r="A405" s="154" t="s">
        <v>1313</v>
      </c>
      <c r="B405" s="155">
        <v>57.308752293073567</v>
      </c>
      <c r="C405" s="155">
        <v>5.4087773505144998</v>
      </c>
      <c r="D405" s="155">
        <v>76.510832193399523</v>
      </c>
      <c r="E405" s="155">
        <v>7.1022271543710866</v>
      </c>
      <c r="F405" s="155">
        <v>56.017582712930015</v>
      </c>
      <c r="G405" s="155">
        <v>16.280540476827873</v>
      </c>
      <c r="H405" s="155">
        <v>480.35659314875232</v>
      </c>
      <c r="I405" s="155">
        <v>27.72631880503258</v>
      </c>
      <c r="J405" s="155">
        <v>726.7116241349014</v>
      </c>
      <c r="K405" s="88"/>
    </row>
    <row r="406" spans="1:11" ht="12.6" customHeight="1">
      <c r="A406" s="154" t="s">
        <v>44</v>
      </c>
      <c r="B406" s="155">
        <v>81.432500132139822</v>
      </c>
      <c r="C406" s="155">
        <v>26.376520935514499</v>
      </c>
      <c r="D406" s="155">
        <v>77.156281160352691</v>
      </c>
      <c r="E406" s="155">
        <v>31.429159573759613</v>
      </c>
      <c r="F406" s="155">
        <v>60.84074507637191</v>
      </c>
      <c r="G406" s="155">
        <v>16.854503183552815</v>
      </c>
      <c r="H406" s="155">
        <v>637.23614493909315</v>
      </c>
      <c r="I406" s="155">
        <v>59.31036052330208</v>
      </c>
      <c r="J406" s="155">
        <v>990.63621552408677</v>
      </c>
      <c r="K406" s="88"/>
    </row>
    <row r="407" spans="1:11" ht="12.6" customHeight="1">
      <c r="A407" s="88"/>
      <c r="B407" s="115"/>
      <c r="C407" s="115"/>
      <c r="D407" s="115"/>
      <c r="E407" s="115"/>
      <c r="F407" s="115"/>
      <c r="G407" s="115"/>
      <c r="H407" s="88"/>
      <c r="I407" s="88"/>
      <c r="J407" s="88"/>
      <c r="K407" s="88"/>
    </row>
    <row r="408" spans="1:11" ht="12.6" customHeight="1">
      <c r="A408" s="77" t="s">
        <v>2275</v>
      </c>
      <c r="B408" s="115"/>
      <c r="C408" s="115"/>
      <c r="D408" s="115"/>
      <c r="E408" s="115"/>
      <c r="F408" s="115"/>
      <c r="G408" s="115"/>
      <c r="H408" s="88"/>
      <c r="I408" s="88"/>
      <c r="J408" s="88"/>
      <c r="K408" s="88"/>
    </row>
    <row r="409" spans="1:11" ht="12.6" customHeight="1">
      <c r="A409" s="104" t="s">
        <v>780</v>
      </c>
      <c r="B409" s="115"/>
      <c r="C409" s="115"/>
      <c r="D409" s="115"/>
      <c r="E409" s="115"/>
      <c r="F409" s="115"/>
      <c r="G409" s="115"/>
      <c r="H409" s="88"/>
      <c r="I409" s="88"/>
      <c r="J409" s="88"/>
      <c r="K409" s="88"/>
    </row>
    <row r="410" spans="1:11" ht="12.6" customHeight="1">
      <c r="A410" s="88"/>
      <c r="B410" s="115"/>
      <c r="C410" s="115"/>
      <c r="D410" s="115"/>
      <c r="E410" s="115"/>
      <c r="F410" s="115"/>
      <c r="G410" s="115"/>
      <c r="H410" s="88"/>
      <c r="I410" s="88"/>
      <c r="J410" s="88"/>
      <c r="K410" s="88"/>
    </row>
    <row r="411" spans="1:11" ht="12.6" customHeight="1">
      <c r="A411" s="88"/>
      <c r="B411" s="115"/>
      <c r="C411" s="115"/>
      <c r="D411" s="115"/>
      <c r="E411" s="115"/>
      <c r="F411" s="115"/>
      <c r="G411" s="115"/>
      <c r="H411" s="88"/>
      <c r="I411" s="88"/>
      <c r="J411" s="88"/>
      <c r="K411" s="88"/>
    </row>
    <row r="412" spans="1:11" ht="12.6" customHeight="1">
      <c r="A412" s="88"/>
      <c r="B412" s="115"/>
      <c r="C412" s="115"/>
      <c r="D412" s="115"/>
      <c r="E412" s="115"/>
      <c r="F412" s="115"/>
      <c r="G412" s="115"/>
      <c r="H412" s="88"/>
      <c r="I412" s="88"/>
      <c r="J412" s="88"/>
      <c r="K412" s="88"/>
    </row>
  </sheetData>
  <mergeCells count="10">
    <mergeCell ref="J12:J26"/>
    <mergeCell ref="J30:J44"/>
    <mergeCell ref="J48:J62"/>
    <mergeCell ref="J67:J81"/>
    <mergeCell ref="J85:J99"/>
    <mergeCell ref="J175:J189"/>
    <mergeCell ref="J157:J171"/>
    <mergeCell ref="J139:J153"/>
    <mergeCell ref="J121:J135"/>
    <mergeCell ref="J103:J117"/>
  </mergeCells>
  <phoneticPr fontId="0" type="noConversion"/>
  <pageMargins left="0.75" right="0.75" top="1" bottom="1" header="0.5" footer="0.5"/>
  <pageSetup scale="63" orientation="landscape" r:id="rId1"/>
  <headerFooter alignWithMargins="0"/>
  <ignoredErrors>
    <ignoredError sqref="K189 B190:I190 C172:G172 I172 B154:I154 L82 K153 C136:G136 K135 I136 C100 D45 F45 H45 B27:I27 K27"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5:AK58"/>
  <sheetViews>
    <sheetView zoomScale="85" zoomScaleNormal="85" workbookViewId="0">
      <selection activeCell="G8" sqref="G8"/>
    </sheetView>
  </sheetViews>
  <sheetFormatPr defaultColWidth="8.85546875" defaultRowHeight="12.6" customHeight="1"/>
  <cols>
    <col min="1" max="1" width="8.42578125" style="9" customWidth="1"/>
    <col min="2" max="3" width="8.5703125" style="9" bestFit="1" customWidth="1"/>
    <col min="4" max="4" width="7" style="9" customWidth="1"/>
    <col min="5" max="7" width="8.5703125" style="9" bestFit="1" customWidth="1"/>
    <col min="8" max="8" width="8.85546875" style="9" bestFit="1" customWidth="1"/>
    <col min="9" max="9" width="7" style="9" customWidth="1"/>
    <col min="10" max="10" width="8.5703125" style="9" bestFit="1" customWidth="1"/>
    <col min="11" max="12" width="8.42578125" style="9" bestFit="1" customWidth="1"/>
    <col min="13" max="13" width="8.85546875" style="9" bestFit="1" customWidth="1"/>
    <col min="14" max="14" width="7" style="9" customWidth="1"/>
    <col min="15" max="18" width="8.5703125" style="9" bestFit="1" customWidth="1"/>
    <col min="19" max="19" width="7.140625" style="9" customWidth="1"/>
    <col min="20" max="23" width="8.5703125" style="9" bestFit="1" customWidth="1"/>
    <col min="24" max="24" width="7.140625" style="9" customWidth="1"/>
    <col min="25" max="25" width="8.5703125" style="9" bestFit="1" customWidth="1"/>
    <col min="26" max="28" width="8.85546875" style="9" bestFit="1" customWidth="1"/>
    <col min="29" max="29" width="7.5703125" style="9" customWidth="1"/>
    <col min="30" max="33" width="8.5703125" style="9" bestFit="1" customWidth="1"/>
    <col min="34" max="34" width="7.5703125" style="9" customWidth="1"/>
    <col min="35" max="37" width="8.5703125" style="9" bestFit="1" customWidth="1"/>
    <col min="38" max="16384" width="8.85546875" style="9"/>
  </cols>
  <sheetData>
    <row r="5" spans="1:37" ht="12.6" customHeight="1">
      <c r="A5" s="27"/>
      <c r="B5" s="27"/>
      <c r="C5" s="27"/>
      <c r="D5" s="27"/>
      <c r="E5" s="27"/>
      <c r="F5" s="27"/>
      <c r="G5" s="27"/>
      <c r="I5" s="27"/>
      <c r="J5" s="27"/>
      <c r="K5" s="27"/>
      <c r="L5" s="27"/>
      <c r="N5" s="27"/>
      <c r="O5" s="27"/>
      <c r="P5" s="27"/>
      <c r="Q5" s="27"/>
    </row>
    <row r="6" spans="1:37" ht="12.6" customHeight="1">
      <c r="A6" s="27"/>
      <c r="B6" s="27"/>
      <c r="C6" s="27"/>
      <c r="D6" s="27"/>
      <c r="E6" s="27"/>
      <c r="F6" s="27"/>
      <c r="G6" s="27"/>
      <c r="I6" s="27"/>
      <c r="J6" s="27"/>
      <c r="K6" s="27"/>
      <c r="L6" s="27"/>
      <c r="N6" s="27"/>
      <c r="O6" s="27"/>
      <c r="P6" s="27"/>
      <c r="Q6" s="27"/>
    </row>
    <row r="7" spans="1:37" ht="12" customHeight="1">
      <c r="A7" s="29"/>
      <c r="B7" s="29"/>
      <c r="C7" s="29"/>
      <c r="D7" s="29"/>
      <c r="E7" s="29"/>
      <c r="F7" s="29"/>
      <c r="G7" s="29"/>
      <c r="I7" s="29"/>
      <c r="J7" s="29"/>
      <c r="K7" s="29"/>
      <c r="L7" s="29"/>
      <c r="N7" s="29"/>
      <c r="O7" s="29"/>
      <c r="P7" s="29"/>
      <c r="Q7" s="29"/>
    </row>
    <row r="8" spans="1:37" ht="12.6" customHeight="1">
      <c r="A8" s="76" t="s">
        <v>49</v>
      </c>
      <c r="B8" s="34"/>
      <c r="C8" s="34"/>
      <c r="D8" s="34"/>
      <c r="E8" s="34"/>
      <c r="F8" s="34"/>
      <c r="G8" s="34"/>
      <c r="I8" s="34"/>
      <c r="J8" s="34"/>
      <c r="K8" s="34"/>
      <c r="L8" s="34"/>
      <c r="N8" s="34"/>
      <c r="O8" s="34"/>
      <c r="P8" s="34"/>
      <c r="Q8" s="34"/>
    </row>
    <row r="10" spans="1:37" ht="12.6" customHeight="1">
      <c r="A10" s="78" t="s">
        <v>770</v>
      </c>
      <c r="B10" s="27"/>
      <c r="C10" s="27"/>
      <c r="D10" s="27"/>
      <c r="E10" s="27"/>
      <c r="F10" s="27"/>
      <c r="G10" s="27"/>
      <c r="I10" s="27"/>
      <c r="J10" s="27"/>
      <c r="K10" s="27"/>
      <c r="L10" s="27"/>
      <c r="N10" s="27"/>
      <c r="O10" s="27"/>
      <c r="P10" s="27"/>
      <c r="Q10" s="27"/>
    </row>
    <row r="11" spans="1:37" ht="12.6" customHeight="1">
      <c r="A11" s="104" t="s">
        <v>50</v>
      </c>
      <c r="B11" s="104"/>
      <c r="C11" s="104"/>
      <c r="D11" s="104"/>
      <c r="E11" s="104"/>
      <c r="F11" s="104"/>
      <c r="G11" s="104"/>
      <c r="H11" s="88"/>
      <c r="I11" s="104"/>
      <c r="J11" s="104"/>
      <c r="K11" s="104"/>
      <c r="L11" s="104"/>
      <c r="M11" s="88"/>
      <c r="N11" s="104"/>
      <c r="O11" s="104"/>
      <c r="P11" s="104"/>
      <c r="Q11" s="104"/>
      <c r="R11" s="88"/>
      <c r="S11" s="88"/>
      <c r="T11" s="88"/>
      <c r="U11" s="88"/>
      <c r="V11" s="88"/>
      <c r="W11" s="88"/>
      <c r="X11" s="88"/>
      <c r="Y11" s="88"/>
      <c r="Z11" s="160"/>
      <c r="AA11" s="88"/>
      <c r="AB11" s="88"/>
      <c r="AC11" s="88"/>
      <c r="AD11" s="88"/>
      <c r="AE11" s="88"/>
      <c r="AF11" s="88"/>
      <c r="AG11" s="88"/>
      <c r="AH11" s="88"/>
      <c r="AI11" s="88"/>
      <c r="AJ11" s="88"/>
      <c r="AK11" s="88"/>
    </row>
    <row r="12" spans="1:37" ht="12.6" customHeight="1">
      <c r="A12" s="140"/>
      <c r="B12" s="80" t="s">
        <v>2183</v>
      </c>
      <c r="C12" s="80" t="s">
        <v>2231</v>
      </c>
      <c r="D12" s="161"/>
      <c r="E12" s="140" t="s">
        <v>1913</v>
      </c>
      <c r="F12" s="140" t="s">
        <v>1968</v>
      </c>
      <c r="G12" s="140" t="s">
        <v>2019</v>
      </c>
      <c r="H12" s="80" t="s">
        <v>2070</v>
      </c>
      <c r="I12" s="161"/>
      <c r="J12" s="140" t="s">
        <v>1588</v>
      </c>
      <c r="K12" s="140" t="s">
        <v>1661</v>
      </c>
      <c r="L12" s="140" t="s">
        <v>1727</v>
      </c>
      <c r="M12" s="80" t="s">
        <v>1785</v>
      </c>
      <c r="N12" s="161"/>
      <c r="O12" s="140" t="s">
        <v>1309</v>
      </c>
      <c r="P12" s="140" t="s">
        <v>1365</v>
      </c>
      <c r="Q12" s="140" t="s">
        <v>1403</v>
      </c>
      <c r="R12" s="140" t="s">
        <v>1466</v>
      </c>
      <c r="S12" s="161"/>
      <c r="T12" s="140" t="s">
        <v>1047</v>
      </c>
      <c r="U12" s="140" t="s">
        <v>1093</v>
      </c>
      <c r="V12" s="140" t="s">
        <v>1141</v>
      </c>
      <c r="W12" s="140" t="s">
        <v>1193</v>
      </c>
      <c r="X12" s="161"/>
      <c r="Y12" s="80" t="s">
        <v>565</v>
      </c>
      <c r="Z12" s="80" t="s">
        <v>788</v>
      </c>
      <c r="AA12" s="80" t="s">
        <v>845</v>
      </c>
      <c r="AB12" s="80" t="s">
        <v>900</v>
      </c>
      <c r="AC12" s="161"/>
      <c r="AD12" s="80" t="s">
        <v>404</v>
      </c>
      <c r="AE12" s="80" t="s">
        <v>405</v>
      </c>
      <c r="AF12" s="80" t="s">
        <v>406</v>
      </c>
      <c r="AG12" s="80" t="s">
        <v>407</v>
      </c>
      <c r="AH12" s="161"/>
      <c r="AI12" s="170">
        <v>2018</v>
      </c>
      <c r="AJ12" s="170">
        <v>2017</v>
      </c>
      <c r="AK12" s="80">
        <v>2016</v>
      </c>
    </row>
    <row r="13" spans="1:37" s="62" customFormat="1" ht="12.6" customHeight="1">
      <c r="A13" s="162" t="s">
        <v>26</v>
      </c>
      <c r="B13" s="163">
        <v>0.62619999999999998</v>
      </c>
      <c r="C13" s="163">
        <v>0.62980000000000003</v>
      </c>
      <c r="D13" s="164"/>
      <c r="E13" s="163">
        <v>0.58160000000000001</v>
      </c>
      <c r="F13" s="163">
        <v>0.60170000000000001</v>
      </c>
      <c r="G13" s="163">
        <v>0.6109</v>
      </c>
      <c r="H13" s="163">
        <v>0.61370000000000002</v>
      </c>
      <c r="I13" s="164"/>
      <c r="J13" s="163">
        <v>0.53959999999999997</v>
      </c>
      <c r="K13" s="163">
        <v>0.55620000000000003</v>
      </c>
      <c r="L13" s="163">
        <v>0.55730000000000002</v>
      </c>
      <c r="M13" s="163">
        <v>0.57569999999999999</v>
      </c>
      <c r="N13" s="164"/>
      <c r="O13" s="163">
        <v>0.52300000000000002</v>
      </c>
      <c r="P13" s="163">
        <v>0.51819999999999999</v>
      </c>
      <c r="Q13" s="163">
        <v>0.52610000000000001</v>
      </c>
      <c r="R13" s="163">
        <v>0.53249999999999997</v>
      </c>
      <c r="S13" s="164"/>
      <c r="T13" s="163">
        <v>0.5111</v>
      </c>
      <c r="U13" s="163">
        <v>0.51339999999999997</v>
      </c>
      <c r="V13" s="163">
        <v>0.52300000000000002</v>
      </c>
      <c r="W13" s="163">
        <v>0.52300000000000002</v>
      </c>
      <c r="X13" s="164"/>
      <c r="Y13" s="163">
        <v>0.52049999999999996</v>
      </c>
      <c r="Z13" s="163">
        <v>0.51749999999999996</v>
      </c>
      <c r="AA13" s="163">
        <v>0.51239999999999997</v>
      </c>
      <c r="AB13" s="163">
        <v>0.50949999999999995</v>
      </c>
      <c r="AC13" s="164"/>
      <c r="AD13" s="163">
        <v>0.50819999999999999</v>
      </c>
      <c r="AE13" s="163">
        <v>0.51839999999999997</v>
      </c>
      <c r="AF13" s="163">
        <v>0.52510000000000001</v>
      </c>
      <c r="AG13" s="163">
        <v>0.51649999999999996</v>
      </c>
      <c r="AH13" s="164"/>
      <c r="AI13" s="165">
        <v>0.50032500000000002</v>
      </c>
      <c r="AJ13" s="165">
        <v>0.48449999999999999</v>
      </c>
      <c r="AK13" s="165">
        <v>0.4803</v>
      </c>
    </row>
    <row r="14" spans="1:37" s="62" customFormat="1" ht="12.6" customHeight="1">
      <c r="A14" s="162" t="s">
        <v>27</v>
      </c>
      <c r="B14" s="163">
        <v>0.2455</v>
      </c>
      <c r="C14" s="163">
        <v>0.24229999999999999</v>
      </c>
      <c r="D14" s="164"/>
      <c r="E14" s="163">
        <v>0.2888</v>
      </c>
      <c r="F14" s="163">
        <v>0.26989999999999997</v>
      </c>
      <c r="G14" s="163">
        <v>0.26169999999999999</v>
      </c>
      <c r="H14" s="163">
        <v>0.25900000000000001</v>
      </c>
      <c r="I14" s="164"/>
      <c r="J14" s="163">
        <v>0.31140000000000001</v>
      </c>
      <c r="K14" s="163">
        <v>0.29899999999999999</v>
      </c>
      <c r="L14" s="163">
        <v>0.30230000000000001</v>
      </c>
      <c r="M14" s="163">
        <v>0.29149999999999998</v>
      </c>
      <c r="N14" s="164"/>
      <c r="O14" s="163">
        <v>0.33040000000000003</v>
      </c>
      <c r="P14" s="163">
        <v>0.33179999999999998</v>
      </c>
      <c r="Q14" s="163">
        <v>0.32769999999999999</v>
      </c>
      <c r="R14" s="163">
        <v>0.31459999999999999</v>
      </c>
      <c r="S14" s="164"/>
      <c r="T14" s="163">
        <v>0.33789999999999998</v>
      </c>
      <c r="U14" s="163">
        <v>0.33289999999999997</v>
      </c>
      <c r="V14" s="163">
        <v>0.33040000000000003</v>
      </c>
      <c r="W14" s="163">
        <v>0.33040000000000003</v>
      </c>
      <c r="X14" s="164"/>
      <c r="Y14" s="163">
        <v>0.32740000000000002</v>
      </c>
      <c r="Z14" s="163">
        <v>0.32669999999999999</v>
      </c>
      <c r="AA14" s="163">
        <v>0.33079999999999998</v>
      </c>
      <c r="AB14" s="163">
        <v>0.33500000000000002</v>
      </c>
      <c r="AC14" s="164"/>
      <c r="AD14" s="163">
        <v>0.31759999999999999</v>
      </c>
      <c r="AE14" s="163">
        <v>0.31169999999999998</v>
      </c>
      <c r="AF14" s="163">
        <v>0.31590000000000001</v>
      </c>
      <c r="AG14" s="163">
        <v>0.31990000000000002</v>
      </c>
      <c r="AH14" s="164"/>
      <c r="AI14" s="165">
        <v>0.30887500000000001</v>
      </c>
      <c r="AJ14" s="165">
        <v>0.30180000000000001</v>
      </c>
      <c r="AK14" s="165">
        <v>0.29070000000000001</v>
      </c>
    </row>
    <row r="15" spans="1:37" s="62" customFormat="1" ht="12.6" customHeight="1">
      <c r="A15" s="162" t="s">
        <v>28</v>
      </c>
      <c r="B15" s="163">
        <v>6.2E-2</v>
      </c>
      <c r="C15" s="163">
        <v>6.2399999999999997E-2</v>
      </c>
      <c r="D15" s="164"/>
      <c r="E15" s="163">
        <v>6.08E-2</v>
      </c>
      <c r="F15" s="163">
        <v>5.8900000000000001E-2</v>
      </c>
      <c r="G15" s="163">
        <v>5.8200000000000002E-2</v>
      </c>
      <c r="H15" s="163">
        <v>5.8900000000000001E-2</v>
      </c>
      <c r="I15" s="164"/>
      <c r="J15" s="163">
        <v>7.5399999999999995E-2</v>
      </c>
      <c r="K15" s="163">
        <v>7.2700000000000001E-2</v>
      </c>
      <c r="L15" s="163">
        <v>7.1599999999999997E-2</v>
      </c>
      <c r="M15" s="163">
        <v>6.4000000000000001E-2</v>
      </c>
      <c r="N15" s="164"/>
      <c r="O15" s="163">
        <v>7.6700000000000004E-2</v>
      </c>
      <c r="P15" s="163">
        <v>7.6200000000000004E-2</v>
      </c>
      <c r="Q15" s="163">
        <v>7.3300000000000004E-2</v>
      </c>
      <c r="R15" s="163">
        <v>7.8899999999999998E-2</v>
      </c>
      <c r="S15" s="164"/>
      <c r="T15" s="163">
        <v>7.7299999999999994E-2</v>
      </c>
      <c r="U15" s="163">
        <v>7.8899999999999998E-2</v>
      </c>
      <c r="V15" s="163">
        <v>7.6700000000000004E-2</v>
      </c>
      <c r="W15" s="163">
        <v>7.6700000000000004E-2</v>
      </c>
      <c r="X15" s="164"/>
      <c r="Y15" s="163">
        <v>8.1199999999999994E-2</v>
      </c>
      <c r="Z15" s="163">
        <v>8.5000000000000006E-2</v>
      </c>
      <c r="AA15" s="163">
        <v>8.5800000000000001E-2</v>
      </c>
      <c r="AB15" s="163">
        <v>8.2500000000000004E-2</v>
      </c>
      <c r="AC15" s="164"/>
      <c r="AD15" s="163">
        <v>9.9500000000000005E-2</v>
      </c>
      <c r="AE15" s="163">
        <v>9.4500000000000001E-2</v>
      </c>
      <c r="AF15" s="163">
        <v>8.5699999999999998E-2</v>
      </c>
      <c r="AG15" s="163">
        <v>9.01E-2</v>
      </c>
      <c r="AH15" s="164"/>
      <c r="AI15" s="165">
        <v>0.11227499999999999</v>
      </c>
      <c r="AJ15" s="165">
        <v>0.12970000000000001</v>
      </c>
      <c r="AK15" s="165">
        <v>0.13070000000000001</v>
      </c>
    </row>
    <row r="16" spans="1:37" s="62" customFormat="1" ht="12.6" customHeight="1">
      <c r="A16" s="162" t="s">
        <v>29</v>
      </c>
      <c r="B16" s="163">
        <v>3.0700000000000002E-2</v>
      </c>
      <c r="C16" s="163">
        <v>3.0300000000000001E-2</v>
      </c>
      <c r="D16" s="164"/>
      <c r="E16" s="163">
        <v>3.3599999999999998E-2</v>
      </c>
      <c r="F16" s="163">
        <v>3.4700000000000002E-2</v>
      </c>
      <c r="G16" s="163">
        <v>3.2199999999999999E-2</v>
      </c>
      <c r="H16" s="163">
        <v>3.2300000000000002E-2</v>
      </c>
      <c r="I16" s="164"/>
      <c r="J16" s="163">
        <v>4.0099999999999997E-2</v>
      </c>
      <c r="K16" s="163">
        <v>3.8899999999999997E-2</v>
      </c>
      <c r="L16" s="163">
        <v>3.4500000000000003E-2</v>
      </c>
      <c r="M16" s="163">
        <v>3.4500000000000003E-2</v>
      </c>
      <c r="N16" s="164"/>
      <c r="O16" s="163">
        <v>3.5000000000000003E-2</v>
      </c>
      <c r="P16" s="163">
        <v>4.0099999999999997E-2</v>
      </c>
      <c r="Q16" s="163">
        <v>3.9100000000000003E-2</v>
      </c>
      <c r="R16" s="163">
        <v>3.9899999999999998E-2</v>
      </c>
      <c r="S16" s="164"/>
      <c r="T16" s="163">
        <v>3.4799999999999998E-2</v>
      </c>
      <c r="U16" s="163">
        <v>3.6400000000000002E-2</v>
      </c>
      <c r="V16" s="163">
        <v>3.5000000000000003E-2</v>
      </c>
      <c r="W16" s="163">
        <v>3.5000000000000003E-2</v>
      </c>
      <c r="X16" s="164"/>
      <c r="Y16" s="163">
        <v>3.4500000000000003E-2</v>
      </c>
      <c r="Z16" s="163">
        <v>3.4000000000000002E-2</v>
      </c>
      <c r="AA16" s="163">
        <v>3.3399999999999999E-2</v>
      </c>
      <c r="AB16" s="163">
        <v>3.49E-2</v>
      </c>
      <c r="AC16" s="164"/>
      <c r="AD16" s="163">
        <v>3.0700000000000002E-2</v>
      </c>
      <c r="AE16" s="163">
        <v>3.6700000000000003E-2</v>
      </c>
      <c r="AF16" s="163">
        <v>3.5900000000000001E-2</v>
      </c>
      <c r="AG16" s="163">
        <v>3.5999999999999997E-2</v>
      </c>
      <c r="AH16" s="164"/>
      <c r="AI16" s="165">
        <v>3.1099999999999999E-2</v>
      </c>
      <c r="AJ16" s="165">
        <v>3.61E-2</v>
      </c>
      <c r="AK16" s="165">
        <v>4.2200000000000001E-2</v>
      </c>
    </row>
    <row r="17" spans="1:37" s="62" customFormat="1" ht="12.6" customHeight="1">
      <c r="A17" s="162" t="s">
        <v>30</v>
      </c>
      <c r="B17" s="163">
        <v>1.7500000000000002E-2</v>
      </c>
      <c r="C17" s="163">
        <v>1.5900000000000001E-2</v>
      </c>
      <c r="D17" s="164"/>
      <c r="E17" s="163">
        <v>1.6299999999999999E-2</v>
      </c>
      <c r="F17" s="163">
        <v>1.52E-2</v>
      </c>
      <c r="G17" s="163">
        <v>1.78E-2</v>
      </c>
      <c r="H17" s="163">
        <v>1.72E-2</v>
      </c>
      <c r="I17" s="164"/>
      <c r="J17" s="163">
        <v>1.49E-2</v>
      </c>
      <c r="K17" s="163">
        <v>1.4800000000000001E-2</v>
      </c>
      <c r="L17" s="163">
        <v>1.5699999999999999E-2</v>
      </c>
      <c r="M17" s="163">
        <v>1.54E-2</v>
      </c>
      <c r="N17" s="164"/>
      <c r="O17" s="163">
        <v>1.72E-2</v>
      </c>
      <c r="P17" s="163">
        <v>1.52E-2</v>
      </c>
      <c r="Q17" s="163">
        <v>1.5100000000000001E-2</v>
      </c>
      <c r="R17" s="163">
        <v>1.52E-2</v>
      </c>
      <c r="S17" s="164"/>
      <c r="T17" s="163">
        <v>1.6400000000000001E-2</v>
      </c>
      <c r="U17" s="163">
        <v>1.6E-2</v>
      </c>
      <c r="V17" s="163">
        <v>1.72E-2</v>
      </c>
      <c r="W17" s="163">
        <v>1.72E-2</v>
      </c>
      <c r="X17" s="164"/>
      <c r="Y17" s="163">
        <v>1.54E-2</v>
      </c>
      <c r="Z17" s="163">
        <v>1.4999999999999999E-2</v>
      </c>
      <c r="AA17" s="163">
        <v>1.61E-2</v>
      </c>
      <c r="AB17" s="163">
        <v>1.6199999999999999E-2</v>
      </c>
      <c r="AC17" s="164"/>
      <c r="AD17" s="163">
        <v>2.01E-2</v>
      </c>
      <c r="AE17" s="163">
        <v>1.6199999999999999E-2</v>
      </c>
      <c r="AF17" s="163">
        <v>1.5599999999999999E-2</v>
      </c>
      <c r="AG17" s="163">
        <v>1.5299999999999999E-2</v>
      </c>
      <c r="AH17" s="164"/>
      <c r="AI17" s="165">
        <v>2.1900000000000003E-2</v>
      </c>
      <c r="AJ17" s="165">
        <v>1.7000000000000001E-2</v>
      </c>
      <c r="AK17" s="165">
        <v>1.89E-2</v>
      </c>
    </row>
    <row r="18" spans="1:37" s="62" customFormat="1" ht="12.6" customHeight="1">
      <c r="A18" s="162" t="s">
        <v>31</v>
      </c>
      <c r="B18" s="163">
        <v>1.18E-2</v>
      </c>
      <c r="C18" s="163">
        <v>1.2999999999999999E-2</v>
      </c>
      <c r="D18" s="164"/>
      <c r="E18" s="163">
        <v>1.2200000000000001E-2</v>
      </c>
      <c r="F18" s="163">
        <v>1.2699999999999999E-2</v>
      </c>
      <c r="G18" s="163">
        <v>1.2500000000000001E-2</v>
      </c>
      <c r="H18" s="163">
        <v>1.21E-2</v>
      </c>
      <c r="I18" s="164"/>
      <c r="J18" s="163">
        <v>1.2999999999999999E-2</v>
      </c>
      <c r="K18" s="163">
        <v>1.2200000000000001E-2</v>
      </c>
      <c r="L18" s="163">
        <v>1.2200000000000001E-2</v>
      </c>
      <c r="M18" s="163">
        <v>1.2500000000000001E-2</v>
      </c>
      <c r="N18" s="164"/>
      <c r="O18" s="163">
        <v>1.09E-2</v>
      </c>
      <c r="P18" s="163">
        <v>1.23E-2</v>
      </c>
      <c r="Q18" s="163">
        <v>1.2699999999999999E-2</v>
      </c>
      <c r="R18" s="163">
        <v>1.2800000000000001E-2</v>
      </c>
      <c r="S18" s="164"/>
      <c r="T18" s="163">
        <v>1.12E-2</v>
      </c>
      <c r="U18" s="163">
        <v>1.18E-2</v>
      </c>
      <c r="V18" s="163">
        <v>1.09E-2</v>
      </c>
      <c r="W18" s="163">
        <v>1.09E-2</v>
      </c>
      <c r="X18" s="164"/>
      <c r="Y18" s="163">
        <v>1.0699999999999999E-2</v>
      </c>
      <c r="Z18" s="163">
        <v>1.1599999999999999E-2</v>
      </c>
      <c r="AA18" s="163">
        <v>1.0500000000000001E-2</v>
      </c>
      <c r="AB18" s="163">
        <v>1.0800000000000001E-2</v>
      </c>
      <c r="AC18" s="164"/>
      <c r="AD18" s="163">
        <v>1.2800000000000001E-2</v>
      </c>
      <c r="AE18" s="163">
        <v>1.1900000000000001E-2</v>
      </c>
      <c r="AF18" s="163">
        <v>1.1299999999999999E-2</v>
      </c>
      <c r="AG18" s="163">
        <v>1.09E-2</v>
      </c>
      <c r="AH18" s="164"/>
      <c r="AI18" s="165">
        <v>1.2500000000000001E-2</v>
      </c>
      <c r="AJ18" s="165">
        <v>1.55E-2</v>
      </c>
      <c r="AK18" s="165">
        <v>1.18E-2</v>
      </c>
    </row>
    <row r="19" spans="1:37" s="62" customFormat="1" ht="12.6" customHeight="1">
      <c r="A19" s="162" t="s">
        <v>32</v>
      </c>
      <c r="B19" s="163">
        <v>4.0000000000000001E-3</v>
      </c>
      <c r="C19" s="163">
        <v>4.0000000000000001E-3</v>
      </c>
      <c r="D19" s="164"/>
      <c r="E19" s="163">
        <v>4.4000000000000003E-3</v>
      </c>
      <c r="F19" s="163">
        <v>4.4999999999999997E-3</v>
      </c>
      <c r="G19" s="163">
        <v>4.4000000000000003E-3</v>
      </c>
      <c r="H19" s="163">
        <v>4.4000000000000003E-3</v>
      </c>
      <c r="I19" s="164"/>
      <c r="J19" s="163">
        <v>3.0999999999999999E-3</v>
      </c>
      <c r="K19" s="163">
        <v>3.8E-3</v>
      </c>
      <c r="L19" s="163">
        <v>3.8E-3</v>
      </c>
      <c r="M19" s="163">
        <v>4.0000000000000001E-3</v>
      </c>
      <c r="N19" s="164"/>
      <c r="O19" s="163">
        <v>4.1999999999999997E-3</v>
      </c>
      <c r="P19" s="163">
        <v>3.5999999999999999E-3</v>
      </c>
      <c r="Q19" s="163">
        <v>3.5000000000000001E-3</v>
      </c>
      <c r="R19" s="163">
        <v>3.5999999999999999E-3</v>
      </c>
      <c r="S19" s="164"/>
      <c r="T19" s="163">
        <v>6.7999999999999996E-3</v>
      </c>
      <c r="U19" s="163">
        <v>5.8999999999999999E-3</v>
      </c>
      <c r="V19" s="163">
        <v>4.1999999999999997E-3</v>
      </c>
      <c r="W19" s="163">
        <v>4.1999999999999997E-3</v>
      </c>
      <c r="X19" s="164"/>
      <c r="Y19" s="163">
        <v>5.7000000000000002E-3</v>
      </c>
      <c r="Z19" s="163">
        <v>5.7000000000000002E-3</v>
      </c>
      <c r="AA19" s="163">
        <v>6.4999999999999997E-3</v>
      </c>
      <c r="AB19" s="163">
        <v>6.7000000000000002E-3</v>
      </c>
      <c r="AC19" s="164"/>
      <c r="AD19" s="163">
        <v>6.1000000000000004E-3</v>
      </c>
      <c r="AE19" s="163">
        <v>6.0000000000000001E-3</v>
      </c>
      <c r="AF19" s="163">
        <v>5.8999999999999999E-3</v>
      </c>
      <c r="AG19" s="163">
        <v>6.4000000000000003E-3</v>
      </c>
      <c r="AH19" s="164"/>
      <c r="AI19" s="165">
        <v>7.45E-3</v>
      </c>
      <c r="AJ19" s="165">
        <v>9.5999999999999992E-3</v>
      </c>
      <c r="AK19" s="165">
        <v>1.6799999999999999E-2</v>
      </c>
    </row>
    <row r="20" spans="1:37" s="62" customFormat="1" ht="12.6" customHeight="1">
      <c r="A20" s="162" t="s">
        <v>33</v>
      </c>
      <c r="B20" s="163">
        <v>1E-3</v>
      </c>
      <c r="C20" s="163">
        <v>1E-3</v>
      </c>
      <c r="D20" s="164"/>
      <c r="E20" s="163">
        <v>8.0000000000000004E-4</v>
      </c>
      <c r="F20" s="163">
        <v>8.9999999999999998E-4</v>
      </c>
      <c r="G20" s="163">
        <v>8.9999999999999998E-4</v>
      </c>
      <c r="H20" s="163">
        <v>1E-3</v>
      </c>
      <c r="I20" s="164"/>
      <c r="J20" s="163">
        <v>1E-3</v>
      </c>
      <c r="K20" s="163">
        <v>1E-3</v>
      </c>
      <c r="L20" s="163">
        <v>1E-3</v>
      </c>
      <c r="M20" s="163">
        <v>1E-3</v>
      </c>
      <c r="N20" s="164"/>
      <c r="O20" s="163">
        <v>1.1999999999999999E-3</v>
      </c>
      <c r="P20" s="163">
        <v>1.1000000000000001E-3</v>
      </c>
      <c r="Q20" s="163">
        <v>1E-3</v>
      </c>
      <c r="R20" s="163">
        <v>1E-3</v>
      </c>
      <c r="S20" s="164"/>
      <c r="T20" s="163">
        <v>2.7000000000000001E-3</v>
      </c>
      <c r="U20" s="163">
        <v>2.7000000000000001E-3</v>
      </c>
      <c r="V20" s="163">
        <v>1.1999999999999999E-3</v>
      </c>
      <c r="W20" s="163">
        <v>1.1999999999999999E-3</v>
      </c>
      <c r="X20" s="164"/>
      <c r="Y20" s="163">
        <v>2.5999999999999999E-3</v>
      </c>
      <c r="Z20" s="163">
        <v>2.5999999999999999E-3</v>
      </c>
      <c r="AA20" s="163">
        <v>2.5999999999999999E-3</v>
      </c>
      <c r="AB20" s="163">
        <v>2.5000000000000001E-3</v>
      </c>
      <c r="AC20" s="164"/>
      <c r="AD20" s="163">
        <v>2.5000000000000001E-3</v>
      </c>
      <c r="AE20" s="163">
        <v>2.5000000000000001E-3</v>
      </c>
      <c r="AF20" s="163">
        <v>2.5999999999999999E-3</v>
      </c>
      <c r="AG20" s="163">
        <v>2.5999999999999999E-3</v>
      </c>
      <c r="AH20" s="164"/>
      <c r="AI20" s="165">
        <v>3.0999999999999999E-3</v>
      </c>
      <c r="AJ20" s="165">
        <v>3.3E-3</v>
      </c>
      <c r="AK20" s="165">
        <v>5.1999999999999998E-3</v>
      </c>
    </row>
    <row r="21" spans="1:37" s="62" customFormat="1" ht="12.6" customHeight="1">
      <c r="A21" s="162" t="s">
        <v>34</v>
      </c>
      <c r="B21" s="163">
        <v>1.2999999999999999E-3</v>
      </c>
      <c r="C21" s="163">
        <v>1.1999999999999999E-3</v>
      </c>
      <c r="D21" s="164"/>
      <c r="E21" s="163">
        <v>1.4E-3</v>
      </c>
      <c r="F21" s="163">
        <v>1.4E-3</v>
      </c>
      <c r="G21" s="163">
        <v>1.4E-3</v>
      </c>
      <c r="H21" s="163">
        <v>1.4E-3</v>
      </c>
      <c r="I21" s="164"/>
      <c r="J21" s="163">
        <v>1.5E-3</v>
      </c>
      <c r="K21" s="163">
        <v>1.5E-3</v>
      </c>
      <c r="L21" s="163">
        <v>1.5E-3</v>
      </c>
      <c r="M21" s="163">
        <v>1.5E-3</v>
      </c>
      <c r="N21" s="164"/>
      <c r="O21" s="163">
        <v>1.4E-3</v>
      </c>
      <c r="P21" s="163">
        <v>1.5E-3</v>
      </c>
      <c r="Q21" s="163">
        <v>1.5E-3</v>
      </c>
      <c r="R21" s="163">
        <v>1.5E-3</v>
      </c>
      <c r="S21" s="164"/>
      <c r="T21" s="163">
        <v>1.9E-3</v>
      </c>
      <c r="U21" s="163">
        <v>1.9E-3</v>
      </c>
      <c r="V21" s="163">
        <v>1.4E-3</v>
      </c>
      <c r="W21" s="163">
        <v>1.4E-3</v>
      </c>
      <c r="X21" s="164"/>
      <c r="Y21" s="163">
        <v>2E-3</v>
      </c>
      <c r="Z21" s="163">
        <v>2E-3</v>
      </c>
      <c r="AA21" s="163">
        <v>2E-3</v>
      </c>
      <c r="AB21" s="163">
        <v>1.8E-3</v>
      </c>
      <c r="AC21" s="164"/>
      <c r="AD21" s="163">
        <v>2.3999999999999998E-3</v>
      </c>
      <c r="AE21" s="163">
        <v>2.2000000000000001E-3</v>
      </c>
      <c r="AF21" s="163">
        <v>2.0999999999999999E-3</v>
      </c>
      <c r="AG21" s="163">
        <v>2.2000000000000001E-3</v>
      </c>
      <c r="AH21" s="164"/>
      <c r="AI21" s="165">
        <v>2.4749999999999998E-3</v>
      </c>
      <c r="AJ21" s="165">
        <v>2.5000000000000001E-3</v>
      </c>
      <c r="AK21" s="165">
        <v>3.3999999999999998E-3</v>
      </c>
    </row>
    <row r="22" spans="1:37" s="62" customFormat="1" ht="12.6" customHeight="1">
      <c r="A22" s="166" t="s">
        <v>22</v>
      </c>
      <c r="B22" s="167">
        <v>0.99999999999999989</v>
      </c>
      <c r="C22" s="167">
        <v>0.99999999999999989</v>
      </c>
      <c r="D22" s="164"/>
      <c r="E22" s="167">
        <v>1</v>
      </c>
      <c r="F22" s="167">
        <v>1</v>
      </c>
      <c r="G22" s="167">
        <v>1</v>
      </c>
      <c r="H22" s="167">
        <v>1</v>
      </c>
      <c r="I22" s="164"/>
      <c r="J22" s="167">
        <v>1</v>
      </c>
      <c r="K22" s="167">
        <v>1</v>
      </c>
      <c r="L22" s="167">
        <v>1</v>
      </c>
      <c r="M22" s="167">
        <v>1.0001</v>
      </c>
      <c r="N22" s="164"/>
      <c r="O22" s="167">
        <v>1</v>
      </c>
      <c r="P22" s="167">
        <v>1</v>
      </c>
      <c r="Q22" s="167">
        <v>1</v>
      </c>
      <c r="R22" s="167">
        <v>1</v>
      </c>
      <c r="S22" s="164"/>
      <c r="T22" s="167">
        <v>1</v>
      </c>
      <c r="U22" s="167">
        <v>1</v>
      </c>
      <c r="V22" s="167">
        <v>1</v>
      </c>
      <c r="W22" s="167">
        <v>1</v>
      </c>
      <c r="X22" s="164"/>
      <c r="Y22" s="167">
        <v>1</v>
      </c>
      <c r="Z22" s="167">
        <v>1</v>
      </c>
      <c r="AA22" s="167">
        <v>1</v>
      </c>
      <c r="AB22" s="167">
        <v>1</v>
      </c>
      <c r="AC22" s="164"/>
      <c r="AD22" s="167">
        <v>1</v>
      </c>
      <c r="AE22" s="167">
        <v>1</v>
      </c>
      <c r="AF22" s="167">
        <v>1</v>
      </c>
      <c r="AG22" s="167">
        <v>1</v>
      </c>
      <c r="AH22" s="164"/>
      <c r="AI22" s="168">
        <f>AVERAGE(AD22:AG22)</f>
        <v>1</v>
      </c>
      <c r="AJ22" s="168">
        <v>1</v>
      </c>
      <c r="AK22" s="168">
        <v>1.0000000000000002</v>
      </c>
    </row>
    <row r="23" spans="1:37" ht="12.6" customHeight="1">
      <c r="AE23" s="22"/>
    </row>
    <row r="24" spans="1:37" ht="12.6" customHeight="1">
      <c r="A24" s="86" t="s">
        <v>771</v>
      </c>
      <c r="B24" s="28"/>
      <c r="C24" s="28"/>
      <c r="D24" s="28"/>
      <c r="E24" s="28"/>
      <c r="F24" s="28"/>
      <c r="I24" s="28"/>
      <c r="J24" s="28"/>
      <c r="K24" s="28"/>
      <c r="L24" s="28"/>
      <c r="N24" s="28"/>
      <c r="O24" s="28"/>
      <c r="P24" s="28"/>
      <c r="Q24" s="28"/>
      <c r="S24" s="28"/>
      <c r="T24" s="28"/>
      <c r="U24" s="28"/>
      <c r="V24" s="28"/>
    </row>
    <row r="25" spans="1:37" ht="12.6" customHeight="1">
      <c r="A25" s="104" t="s">
        <v>50</v>
      </c>
      <c r="B25" s="104"/>
      <c r="C25" s="104"/>
      <c r="D25" s="104"/>
      <c r="E25" s="104"/>
      <c r="F25" s="104"/>
      <c r="G25" s="88"/>
      <c r="H25" s="88"/>
      <c r="I25" s="104"/>
      <c r="J25" s="104"/>
      <c r="K25" s="104"/>
      <c r="L25" s="104"/>
      <c r="M25" s="88"/>
      <c r="N25" s="104"/>
      <c r="O25" s="104"/>
      <c r="P25" s="104"/>
      <c r="Q25" s="104"/>
      <c r="R25" s="88"/>
      <c r="S25" s="104"/>
      <c r="T25" s="104"/>
      <c r="U25" s="104"/>
      <c r="V25" s="104"/>
      <c r="W25" s="88"/>
      <c r="X25" s="88"/>
      <c r="Y25" s="88"/>
      <c r="Z25" s="88"/>
      <c r="AA25" s="88"/>
      <c r="AB25" s="88"/>
      <c r="AC25" s="88"/>
      <c r="AD25" s="88"/>
      <c r="AE25" s="160"/>
      <c r="AF25" s="88"/>
      <c r="AG25" s="88"/>
      <c r="AH25" s="88"/>
      <c r="AI25" s="88"/>
      <c r="AJ25" s="88"/>
      <c r="AK25" s="88"/>
    </row>
    <row r="26" spans="1:37" ht="12.6" customHeight="1">
      <c r="A26" s="140"/>
      <c r="B26" s="80" t="s">
        <v>2183</v>
      </c>
      <c r="C26" s="80" t="s">
        <v>2231</v>
      </c>
      <c r="D26" s="161"/>
      <c r="E26" s="140" t="s">
        <v>1913</v>
      </c>
      <c r="F26" s="140" t="s">
        <v>1968</v>
      </c>
      <c r="G26" s="140" t="s">
        <v>2019</v>
      </c>
      <c r="H26" s="80" t="s">
        <v>2070</v>
      </c>
      <c r="I26" s="161"/>
      <c r="J26" s="140" t="s">
        <v>1588</v>
      </c>
      <c r="K26" s="140" t="s">
        <v>1661</v>
      </c>
      <c r="L26" s="140" t="s">
        <v>1727</v>
      </c>
      <c r="M26" s="80" t="s">
        <v>1785</v>
      </c>
      <c r="N26" s="161"/>
      <c r="O26" s="140" t="s">
        <v>1309</v>
      </c>
      <c r="P26" s="140" t="s">
        <v>1365</v>
      </c>
      <c r="Q26" s="140" t="s">
        <v>1403</v>
      </c>
      <c r="R26" s="140" t="s">
        <v>1466</v>
      </c>
      <c r="S26" s="161"/>
      <c r="T26" s="140" t="s">
        <v>1047</v>
      </c>
      <c r="U26" s="140" t="s">
        <v>1093</v>
      </c>
      <c r="V26" s="140" t="s">
        <v>1141</v>
      </c>
      <c r="W26" s="140" t="s">
        <v>1193</v>
      </c>
      <c r="X26" s="161"/>
      <c r="Y26" s="80" t="s">
        <v>565</v>
      </c>
      <c r="Z26" s="80" t="s">
        <v>788</v>
      </c>
      <c r="AA26" s="80" t="s">
        <v>845</v>
      </c>
      <c r="AB26" s="80" t="s">
        <v>900</v>
      </c>
      <c r="AC26" s="161"/>
      <c r="AD26" s="80" t="s">
        <v>404</v>
      </c>
      <c r="AE26" s="80" t="s">
        <v>405</v>
      </c>
      <c r="AF26" s="80" t="s">
        <v>406</v>
      </c>
      <c r="AG26" s="80" t="s">
        <v>407</v>
      </c>
      <c r="AH26" s="161"/>
      <c r="AI26" s="170">
        <v>2018</v>
      </c>
      <c r="AJ26" s="170">
        <v>2017</v>
      </c>
      <c r="AK26" s="80">
        <v>2016</v>
      </c>
    </row>
    <row r="27" spans="1:37" ht="12.6" customHeight="1">
      <c r="A27" s="81" t="s">
        <v>26</v>
      </c>
      <c r="B27" s="163">
        <v>0.52100000000000002</v>
      </c>
      <c r="C27" s="163">
        <v>0.52180000000000004</v>
      </c>
      <c r="D27" s="169"/>
      <c r="E27" s="165">
        <v>0.49640000000000001</v>
      </c>
      <c r="F27" s="165">
        <v>0.50370000000000004</v>
      </c>
      <c r="G27" s="165">
        <v>0.50780000000000003</v>
      </c>
      <c r="H27" s="165">
        <v>0.51559999999999995</v>
      </c>
      <c r="I27" s="169"/>
      <c r="J27" s="165">
        <v>0.47270000000000001</v>
      </c>
      <c r="K27" s="165">
        <v>0.48070000000000002</v>
      </c>
      <c r="L27" s="165">
        <v>0.48509999999999998</v>
      </c>
      <c r="M27" s="165">
        <v>0.48809999999999998</v>
      </c>
      <c r="N27" s="169"/>
      <c r="O27" s="165">
        <v>0.43130000000000002</v>
      </c>
      <c r="P27" s="165">
        <v>0.46379999999999999</v>
      </c>
      <c r="Q27" s="165">
        <v>0.46939999999999998</v>
      </c>
      <c r="R27" s="165">
        <v>0.4708</v>
      </c>
      <c r="S27" s="169"/>
      <c r="T27" s="165">
        <v>0.4284</v>
      </c>
      <c r="U27" s="165">
        <v>0.42899999999999999</v>
      </c>
      <c r="V27" s="165">
        <v>0.43130000000000002</v>
      </c>
      <c r="W27" s="165">
        <v>0.43130000000000002</v>
      </c>
      <c r="X27" s="169"/>
      <c r="Y27" s="165">
        <v>0.39429999999999998</v>
      </c>
      <c r="Z27" s="165">
        <v>0.42799999999999999</v>
      </c>
      <c r="AA27" s="165">
        <v>0.42870000000000003</v>
      </c>
      <c r="AB27" s="165">
        <v>0.42670000000000002</v>
      </c>
      <c r="AC27" s="169"/>
      <c r="AD27" s="165">
        <v>0.39429999999999998</v>
      </c>
      <c r="AE27" s="165">
        <v>0.40439999999999998</v>
      </c>
      <c r="AF27" s="165">
        <v>0.4093</v>
      </c>
      <c r="AG27" s="165">
        <v>0.42459999999999998</v>
      </c>
      <c r="AH27" s="169"/>
      <c r="AI27" s="165">
        <v>0.33957500000000002</v>
      </c>
      <c r="AJ27" s="165">
        <v>0.3039</v>
      </c>
      <c r="AK27" s="165">
        <v>0.2792</v>
      </c>
    </row>
    <row r="28" spans="1:37" ht="12.6" customHeight="1">
      <c r="A28" s="81" t="s">
        <v>27</v>
      </c>
      <c r="B28" s="163">
        <v>4.9599999999999998E-2</v>
      </c>
      <c r="C28" s="163">
        <v>4.99E-2</v>
      </c>
      <c r="D28" s="169"/>
      <c r="E28" s="165">
        <v>5.7099999999999998E-2</v>
      </c>
      <c r="F28" s="165">
        <v>5.45E-2</v>
      </c>
      <c r="G28" s="165">
        <v>5.2699999999999997E-2</v>
      </c>
      <c r="H28" s="165">
        <v>5.2499999999999998E-2</v>
      </c>
      <c r="I28" s="169"/>
      <c r="J28" s="165">
        <v>6.1899999999999997E-2</v>
      </c>
      <c r="K28" s="165">
        <v>6.0699999999999997E-2</v>
      </c>
      <c r="L28" s="165">
        <v>6.0999999999999999E-2</v>
      </c>
      <c r="M28" s="165">
        <v>5.9900000000000002E-2</v>
      </c>
      <c r="N28" s="169"/>
      <c r="O28" s="165">
        <v>5.7700000000000001E-2</v>
      </c>
      <c r="P28" s="165">
        <v>5.96E-2</v>
      </c>
      <c r="Q28" s="165">
        <v>5.9700000000000003E-2</v>
      </c>
      <c r="R28" s="165">
        <v>6.0999999999999999E-2</v>
      </c>
      <c r="S28" s="169"/>
      <c r="T28" s="165">
        <v>5.96E-2</v>
      </c>
      <c r="U28" s="165">
        <v>5.8400000000000001E-2</v>
      </c>
      <c r="V28" s="165">
        <v>5.7700000000000001E-2</v>
      </c>
      <c r="W28" s="165">
        <v>5.7700000000000001E-2</v>
      </c>
      <c r="X28" s="169"/>
      <c r="Y28" s="165">
        <v>5.3100000000000001E-2</v>
      </c>
      <c r="Z28" s="165">
        <v>5.8599999999999999E-2</v>
      </c>
      <c r="AA28" s="165">
        <v>5.9400000000000001E-2</v>
      </c>
      <c r="AB28" s="165">
        <v>6.0100000000000001E-2</v>
      </c>
      <c r="AC28" s="169"/>
      <c r="AD28" s="165">
        <v>5.3100000000000001E-2</v>
      </c>
      <c r="AE28" s="165">
        <v>5.3400000000000003E-2</v>
      </c>
      <c r="AF28" s="165">
        <v>5.3199999999999997E-2</v>
      </c>
      <c r="AG28" s="165">
        <v>5.4300000000000001E-2</v>
      </c>
      <c r="AH28" s="169"/>
      <c r="AI28" s="165">
        <v>4.9049999999999996E-2</v>
      </c>
      <c r="AJ28" s="165">
        <v>5.04E-2</v>
      </c>
      <c r="AK28" s="165">
        <v>5.4399999999999997E-2</v>
      </c>
    </row>
    <row r="29" spans="1:37" ht="12.6" customHeight="1">
      <c r="A29" s="81" t="s">
        <v>28</v>
      </c>
      <c r="B29" s="163">
        <v>6.2399999999999997E-2</v>
      </c>
      <c r="C29" s="163">
        <v>6.6199999999999995E-2</v>
      </c>
      <c r="D29" s="169"/>
      <c r="E29" s="165">
        <v>5.3600000000000002E-2</v>
      </c>
      <c r="F29" s="165">
        <v>5.8599999999999999E-2</v>
      </c>
      <c r="G29" s="165">
        <v>6.0699999999999997E-2</v>
      </c>
      <c r="H29" s="165">
        <v>6.2600000000000003E-2</v>
      </c>
      <c r="I29" s="169"/>
      <c r="J29" s="165">
        <v>5.4899999999999997E-2</v>
      </c>
      <c r="K29" s="165">
        <v>5.4399999999999997E-2</v>
      </c>
      <c r="L29" s="165">
        <v>5.3999999999999999E-2</v>
      </c>
      <c r="M29" s="165">
        <v>5.3800000000000001E-2</v>
      </c>
      <c r="N29" s="169"/>
      <c r="O29" s="165">
        <v>5.6000000000000001E-2</v>
      </c>
      <c r="P29" s="165">
        <v>5.4199999999999998E-2</v>
      </c>
      <c r="Q29" s="165">
        <v>5.5300000000000002E-2</v>
      </c>
      <c r="R29" s="165">
        <v>5.4800000000000001E-2</v>
      </c>
      <c r="S29" s="169"/>
      <c r="T29" s="165">
        <v>5.3199999999999997E-2</v>
      </c>
      <c r="U29" s="165">
        <v>5.4300000000000001E-2</v>
      </c>
      <c r="V29" s="165">
        <v>5.6000000000000001E-2</v>
      </c>
      <c r="W29" s="165">
        <v>5.6000000000000001E-2</v>
      </c>
      <c r="X29" s="169"/>
      <c r="Y29" s="165">
        <v>5.4199999999999998E-2</v>
      </c>
      <c r="Z29" s="165">
        <v>5.3400000000000003E-2</v>
      </c>
      <c r="AA29" s="165">
        <v>5.3199999999999997E-2</v>
      </c>
      <c r="AB29" s="165">
        <v>5.2400000000000002E-2</v>
      </c>
      <c r="AC29" s="169"/>
      <c r="AD29" s="165">
        <v>5.4199999999999998E-2</v>
      </c>
      <c r="AE29" s="165">
        <v>5.3900000000000003E-2</v>
      </c>
      <c r="AF29" s="165">
        <v>5.3499999999999999E-2</v>
      </c>
      <c r="AG29" s="165">
        <v>5.2699999999999997E-2</v>
      </c>
      <c r="AH29" s="169"/>
      <c r="AI29" s="165">
        <v>5.6050000000000003E-2</v>
      </c>
      <c r="AJ29" s="165">
        <v>5.57E-2</v>
      </c>
      <c r="AK29" s="165">
        <v>6.1100000000000002E-2</v>
      </c>
    </row>
    <row r="30" spans="1:37" ht="12.6" customHeight="1">
      <c r="A30" s="81" t="s">
        <v>29</v>
      </c>
      <c r="B30" s="163">
        <v>4.1700000000000001E-2</v>
      </c>
      <c r="C30" s="163">
        <v>3.8300000000000001E-2</v>
      </c>
      <c r="D30" s="169"/>
      <c r="E30" s="165">
        <v>4.5699999999999998E-2</v>
      </c>
      <c r="F30" s="165">
        <v>4.2599999999999999E-2</v>
      </c>
      <c r="G30" s="165">
        <v>4.2000000000000003E-2</v>
      </c>
      <c r="H30" s="165">
        <v>4.1599999999999998E-2</v>
      </c>
      <c r="I30" s="169"/>
      <c r="J30" s="165">
        <v>4.7E-2</v>
      </c>
      <c r="K30" s="165">
        <v>4.6199999999999998E-2</v>
      </c>
      <c r="L30" s="165">
        <v>4.6899999999999997E-2</v>
      </c>
      <c r="M30" s="165">
        <v>4.6199999999999998E-2</v>
      </c>
      <c r="N30" s="169"/>
      <c r="O30" s="165">
        <v>6.0400000000000002E-2</v>
      </c>
      <c r="P30" s="165">
        <v>5.1700000000000003E-2</v>
      </c>
      <c r="Q30" s="165">
        <v>0.05</v>
      </c>
      <c r="R30" s="165">
        <v>4.82E-2</v>
      </c>
      <c r="S30" s="169"/>
      <c r="T30" s="165">
        <v>6.3700000000000007E-2</v>
      </c>
      <c r="U30" s="165">
        <v>6.5699999999999995E-2</v>
      </c>
      <c r="V30" s="165">
        <v>6.0400000000000002E-2</v>
      </c>
      <c r="W30" s="165">
        <v>6.0400000000000002E-2</v>
      </c>
      <c r="X30" s="169"/>
      <c r="Y30" s="165">
        <v>6.6100000000000006E-2</v>
      </c>
      <c r="Z30" s="165">
        <v>6.6000000000000003E-2</v>
      </c>
      <c r="AA30" s="165">
        <v>6.3399999999999998E-2</v>
      </c>
      <c r="AB30" s="165">
        <v>6.3E-2</v>
      </c>
      <c r="AC30" s="169"/>
      <c r="AD30" s="165">
        <v>6.6100000000000006E-2</v>
      </c>
      <c r="AE30" s="165">
        <v>6.5600000000000006E-2</v>
      </c>
      <c r="AF30" s="165">
        <v>6.5600000000000006E-2</v>
      </c>
      <c r="AG30" s="165">
        <v>6.7199999999999996E-2</v>
      </c>
      <c r="AH30" s="169"/>
      <c r="AI30" s="165">
        <v>7.6724999999999988E-2</v>
      </c>
      <c r="AJ30" s="165">
        <v>8.2000000000000003E-2</v>
      </c>
      <c r="AK30" s="165">
        <v>8.6199999999999999E-2</v>
      </c>
    </row>
    <row r="31" spans="1:37" ht="12.6" customHeight="1">
      <c r="A31" s="81" t="s">
        <v>30</v>
      </c>
      <c r="B31" s="163">
        <v>2.5999999999999999E-2</v>
      </c>
      <c r="C31" s="163">
        <v>2.5100000000000001E-2</v>
      </c>
      <c r="D31" s="169"/>
      <c r="E31" s="165">
        <v>3.1399999999999997E-2</v>
      </c>
      <c r="F31" s="165">
        <v>2.92E-2</v>
      </c>
      <c r="G31" s="165">
        <v>2.8199999999999999E-2</v>
      </c>
      <c r="H31" s="165">
        <v>2.6700000000000002E-2</v>
      </c>
      <c r="I31" s="169"/>
      <c r="J31" s="165">
        <v>3.3700000000000001E-2</v>
      </c>
      <c r="K31" s="165">
        <v>3.27E-2</v>
      </c>
      <c r="L31" s="165">
        <v>3.1600000000000003E-2</v>
      </c>
      <c r="M31" s="165">
        <v>3.2399999999999998E-2</v>
      </c>
      <c r="N31" s="169"/>
      <c r="O31" s="165">
        <v>3.3000000000000002E-2</v>
      </c>
      <c r="P31" s="165">
        <v>3.6499999999999998E-2</v>
      </c>
      <c r="Q31" s="165">
        <v>3.5900000000000001E-2</v>
      </c>
      <c r="R31" s="165">
        <v>3.4200000000000001E-2</v>
      </c>
      <c r="S31" s="169"/>
      <c r="T31" s="165">
        <v>3.6700000000000003E-2</v>
      </c>
      <c r="U31" s="165">
        <v>3.39E-2</v>
      </c>
      <c r="V31" s="165">
        <v>3.3000000000000002E-2</v>
      </c>
      <c r="W31" s="165">
        <v>3.3000000000000002E-2</v>
      </c>
      <c r="X31" s="169"/>
      <c r="Y31" s="165">
        <v>4.19E-2</v>
      </c>
      <c r="Z31" s="165">
        <v>3.4700000000000002E-2</v>
      </c>
      <c r="AA31" s="165">
        <v>3.6700000000000003E-2</v>
      </c>
      <c r="AB31" s="165">
        <v>3.6799999999999999E-2</v>
      </c>
      <c r="AC31" s="169"/>
      <c r="AD31" s="165">
        <v>4.19E-2</v>
      </c>
      <c r="AE31" s="165">
        <v>3.9600000000000003E-2</v>
      </c>
      <c r="AF31" s="165">
        <v>3.8100000000000002E-2</v>
      </c>
      <c r="AG31" s="165">
        <v>3.73E-2</v>
      </c>
      <c r="AH31" s="169"/>
      <c r="AI31" s="165">
        <v>5.1575000000000003E-2</v>
      </c>
      <c r="AJ31" s="165">
        <v>6.3E-2</v>
      </c>
      <c r="AK31" s="165">
        <v>6.4600000000000005E-2</v>
      </c>
    </row>
    <row r="32" spans="1:37" ht="12.6" customHeight="1">
      <c r="A32" s="81" t="s">
        <v>31</v>
      </c>
      <c r="B32" s="163">
        <v>2.87E-2</v>
      </c>
      <c r="C32" s="163">
        <v>2.93E-2</v>
      </c>
      <c r="D32" s="169"/>
      <c r="E32" s="165">
        <v>3.4299999999999997E-2</v>
      </c>
      <c r="F32" s="165">
        <v>3.4099999999999998E-2</v>
      </c>
      <c r="G32" s="165">
        <v>3.1800000000000002E-2</v>
      </c>
      <c r="H32" s="165">
        <v>2.9600000000000001E-2</v>
      </c>
      <c r="I32" s="169"/>
      <c r="J32" s="165">
        <v>3.8100000000000002E-2</v>
      </c>
      <c r="K32" s="165">
        <v>3.6299999999999999E-2</v>
      </c>
      <c r="L32" s="165">
        <v>3.4200000000000001E-2</v>
      </c>
      <c r="M32" s="165">
        <v>3.4299999999999997E-2</v>
      </c>
      <c r="N32" s="169"/>
      <c r="O32" s="165">
        <v>4.3900000000000002E-2</v>
      </c>
      <c r="P32" s="165">
        <v>3.7900000000000003E-2</v>
      </c>
      <c r="Q32" s="165">
        <v>3.7100000000000001E-2</v>
      </c>
      <c r="R32" s="165">
        <v>3.8800000000000001E-2</v>
      </c>
      <c r="S32" s="169"/>
      <c r="T32" s="165">
        <v>4.5499999999999999E-2</v>
      </c>
      <c r="U32" s="165">
        <v>4.4999999999999998E-2</v>
      </c>
      <c r="V32" s="165">
        <v>4.3900000000000002E-2</v>
      </c>
      <c r="W32" s="165">
        <v>4.3900000000000002E-2</v>
      </c>
      <c r="X32" s="169"/>
      <c r="Y32" s="165">
        <v>4.3700000000000003E-2</v>
      </c>
      <c r="Z32" s="165">
        <v>4.5400000000000003E-2</v>
      </c>
      <c r="AA32" s="165">
        <v>4.6100000000000002E-2</v>
      </c>
      <c r="AB32" s="165">
        <v>4.48E-2</v>
      </c>
      <c r="AC32" s="169"/>
      <c r="AD32" s="165">
        <v>4.3700000000000003E-2</v>
      </c>
      <c r="AE32" s="165">
        <v>4.3799999999999999E-2</v>
      </c>
      <c r="AF32" s="165">
        <v>4.4900000000000002E-2</v>
      </c>
      <c r="AG32" s="165">
        <v>4.3499999999999997E-2</v>
      </c>
      <c r="AH32" s="169"/>
      <c r="AI32" s="165">
        <v>5.0275E-2</v>
      </c>
      <c r="AJ32" s="165">
        <v>5.5199999999999999E-2</v>
      </c>
      <c r="AK32" s="165">
        <v>5.8200000000000002E-2</v>
      </c>
    </row>
    <row r="33" spans="1:37" ht="12.6" customHeight="1">
      <c r="A33" s="81" t="s">
        <v>32</v>
      </c>
      <c r="B33" s="163">
        <v>0.14860000000000001</v>
      </c>
      <c r="C33" s="163">
        <v>0.1678</v>
      </c>
      <c r="D33" s="169"/>
      <c r="E33" s="165">
        <v>0.13070000000000001</v>
      </c>
      <c r="F33" s="165">
        <v>0.12820000000000001</v>
      </c>
      <c r="G33" s="165">
        <v>0.12759999999999999</v>
      </c>
      <c r="H33" s="165">
        <v>0.12429999999999999</v>
      </c>
      <c r="I33" s="169"/>
      <c r="J33" s="165">
        <v>0.13519999999999999</v>
      </c>
      <c r="K33" s="165">
        <v>0.1341</v>
      </c>
      <c r="L33" s="165">
        <v>0.13320000000000001</v>
      </c>
      <c r="M33" s="165">
        <v>0.1328</v>
      </c>
      <c r="N33" s="169"/>
      <c r="O33" s="165">
        <v>0.15110000000000001</v>
      </c>
      <c r="P33" s="165">
        <v>0.13850000000000001</v>
      </c>
      <c r="Q33" s="165">
        <v>0.13650000000000001</v>
      </c>
      <c r="R33" s="165">
        <v>0.1358</v>
      </c>
      <c r="S33" s="169"/>
      <c r="T33" s="165">
        <v>0.15540000000000001</v>
      </c>
      <c r="U33" s="165">
        <v>0.1555</v>
      </c>
      <c r="V33" s="165">
        <v>0.15110000000000001</v>
      </c>
      <c r="W33" s="165">
        <v>0.15110000000000001</v>
      </c>
      <c r="X33" s="169"/>
      <c r="Y33" s="165">
        <v>0.17100000000000001</v>
      </c>
      <c r="Z33" s="165">
        <v>0.15670000000000001</v>
      </c>
      <c r="AA33" s="165">
        <v>0.15559999999999999</v>
      </c>
      <c r="AB33" s="165">
        <v>0.1573</v>
      </c>
      <c r="AC33" s="169"/>
      <c r="AD33" s="165">
        <v>0.17100000000000001</v>
      </c>
      <c r="AE33" s="165">
        <v>0.1663</v>
      </c>
      <c r="AF33" s="165">
        <v>0.1636</v>
      </c>
      <c r="AG33" s="165">
        <v>0.15740000000000001</v>
      </c>
      <c r="AH33" s="169"/>
      <c r="AI33" s="165">
        <v>0.19617500000000002</v>
      </c>
      <c r="AJ33" s="165">
        <v>0.2051</v>
      </c>
      <c r="AK33" s="165">
        <v>0.2034</v>
      </c>
    </row>
    <row r="34" spans="1:37" ht="12.6" customHeight="1">
      <c r="A34" s="81" t="s">
        <v>33</v>
      </c>
      <c r="B34" s="163">
        <v>0.08</v>
      </c>
      <c r="C34" s="163">
        <v>6.4299999999999996E-2</v>
      </c>
      <c r="D34" s="169"/>
      <c r="E34" s="165">
        <v>0.10249999999999999</v>
      </c>
      <c r="F34" s="165">
        <v>0.1017</v>
      </c>
      <c r="G34" s="165">
        <v>0.10150000000000001</v>
      </c>
      <c r="H34" s="165">
        <v>0.1</v>
      </c>
      <c r="I34" s="169"/>
      <c r="J34" s="165">
        <v>0.1051</v>
      </c>
      <c r="K34" s="165">
        <v>0.1042</v>
      </c>
      <c r="L34" s="165">
        <v>0.1038</v>
      </c>
      <c r="M34" s="165">
        <v>0.10340000000000001</v>
      </c>
      <c r="N34" s="169"/>
      <c r="O34" s="165">
        <v>0.1104</v>
      </c>
      <c r="P34" s="165">
        <v>0.1051</v>
      </c>
      <c r="Q34" s="165">
        <v>0.1043</v>
      </c>
      <c r="R34" s="165">
        <v>0.10489999999999999</v>
      </c>
      <c r="S34" s="169"/>
      <c r="T34" s="165">
        <v>0.1008</v>
      </c>
      <c r="U34" s="165">
        <v>0.1014</v>
      </c>
      <c r="V34" s="165">
        <v>0.1104</v>
      </c>
      <c r="W34" s="165">
        <v>0.1104</v>
      </c>
      <c r="X34" s="169"/>
      <c r="Y34" s="165">
        <v>0.1111</v>
      </c>
      <c r="Z34" s="165">
        <v>9.9900000000000003E-2</v>
      </c>
      <c r="AA34" s="165">
        <v>9.9900000000000003E-2</v>
      </c>
      <c r="AB34" s="165">
        <v>0.1012</v>
      </c>
      <c r="AC34" s="169"/>
      <c r="AD34" s="165">
        <v>0.1111</v>
      </c>
      <c r="AE34" s="165">
        <v>0.1099</v>
      </c>
      <c r="AF34" s="165">
        <v>0.10970000000000001</v>
      </c>
      <c r="AG34" s="165">
        <v>0.1016</v>
      </c>
      <c r="AH34" s="169"/>
      <c r="AI34" s="165">
        <v>0.11674999999999999</v>
      </c>
      <c r="AJ34" s="165">
        <v>0.11940000000000001</v>
      </c>
      <c r="AK34" s="165">
        <v>0.11849999999999999</v>
      </c>
    </row>
    <row r="35" spans="1:37" ht="12.6" customHeight="1">
      <c r="A35" s="81" t="s">
        <v>34</v>
      </c>
      <c r="B35" s="163">
        <v>4.2000000000000003E-2</v>
      </c>
      <c r="C35" s="163">
        <v>3.73E-2</v>
      </c>
      <c r="D35" s="169"/>
      <c r="E35" s="165">
        <v>4.8300000000000003E-2</v>
      </c>
      <c r="F35" s="165">
        <v>4.7600000000000003E-2</v>
      </c>
      <c r="G35" s="165">
        <v>4.7699999999999999E-2</v>
      </c>
      <c r="H35" s="165">
        <v>4.7100000000000003E-2</v>
      </c>
      <c r="I35" s="169"/>
      <c r="J35" s="165">
        <v>5.1400000000000001E-2</v>
      </c>
      <c r="K35" s="165">
        <v>5.0599999999999999E-2</v>
      </c>
      <c r="L35" s="165">
        <v>5.0099999999999999E-2</v>
      </c>
      <c r="M35" s="165">
        <v>4.9099999999999998E-2</v>
      </c>
      <c r="N35" s="169"/>
      <c r="O35" s="165">
        <v>5.6099999999999997E-2</v>
      </c>
      <c r="P35" s="165">
        <v>5.2699999999999997E-2</v>
      </c>
      <c r="Q35" s="165">
        <v>5.1799999999999999E-2</v>
      </c>
      <c r="R35" s="165">
        <v>5.1299999999999998E-2</v>
      </c>
      <c r="S35" s="169"/>
      <c r="T35" s="165">
        <v>5.67E-2</v>
      </c>
      <c r="U35" s="165">
        <v>5.6800000000000003E-2</v>
      </c>
      <c r="V35" s="165">
        <v>5.6099999999999997E-2</v>
      </c>
      <c r="W35" s="165">
        <v>5.6099999999999997E-2</v>
      </c>
      <c r="X35" s="169"/>
      <c r="Y35" s="165">
        <v>6.4500000000000002E-2</v>
      </c>
      <c r="Z35" s="165">
        <v>5.7299999999999997E-2</v>
      </c>
      <c r="AA35" s="165">
        <v>5.7000000000000002E-2</v>
      </c>
      <c r="AB35" s="165">
        <v>5.7700000000000001E-2</v>
      </c>
      <c r="AC35" s="169"/>
      <c r="AD35" s="165">
        <v>6.4500000000000002E-2</v>
      </c>
      <c r="AE35" s="165">
        <v>6.3200000000000006E-2</v>
      </c>
      <c r="AF35" s="165">
        <v>6.2100000000000002E-2</v>
      </c>
      <c r="AG35" s="165">
        <v>6.13E-2</v>
      </c>
      <c r="AH35" s="169"/>
      <c r="AI35" s="165">
        <v>6.3824999999999993E-2</v>
      </c>
      <c r="AJ35" s="165">
        <v>6.54E-2</v>
      </c>
      <c r="AK35" s="165">
        <v>7.4499999999999997E-2</v>
      </c>
    </row>
    <row r="36" spans="1:37" ht="12.6" customHeight="1">
      <c r="A36" s="146" t="s">
        <v>22</v>
      </c>
      <c r="B36" s="167">
        <v>0.99999999999999989</v>
      </c>
      <c r="C36" s="167">
        <v>1</v>
      </c>
      <c r="D36" s="169"/>
      <c r="E36" s="167">
        <v>1</v>
      </c>
      <c r="F36" s="167">
        <v>1</v>
      </c>
      <c r="G36" s="167">
        <v>1</v>
      </c>
      <c r="H36" s="168">
        <v>1</v>
      </c>
      <c r="I36" s="169"/>
      <c r="J36" s="168">
        <v>0.99999999999999989</v>
      </c>
      <c r="K36" s="167">
        <v>1</v>
      </c>
      <c r="L36" s="167">
        <v>1</v>
      </c>
      <c r="M36" s="168">
        <v>1</v>
      </c>
      <c r="N36" s="169"/>
      <c r="O36" s="168">
        <v>0.99990000000000023</v>
      </c>
      <c r="P36" s="168">
        <v>1</v>
      </c>
      <c r="Q36" s="168">
        <v>1.0000000000000002</v>
      </c>
      <c r="R36" s="168">
        <v>1</v>
      </c>
      <c r="S36" s="169"/>
      <c r="T36" s="168">
        <v>0.99999999999999989</v>
      </c>
      <c r="U36" s="168">
        <v>1</v>
      </c>
      <c r="V36" s="168">
        <v>1</v>
      </c>
      <c r="W36" s="167">
        <v>1</v>
      </c>
      <c r="X36" s="169"/>
      <c r="Y36" s="168">
        <v>1</v>
      </c>
      <c r="Z36" s="168">
        <v>1</v>
      </c>
      <c r="AA36" s="168">
        <v>1</v>
      </c>
      <c r="AB36" s="168">
        <v>0.99999999999999989</v>
      </c>
      <c r="AC36" s="169"/>
      <c r="AD36" s="168">
        <v>1</v>
      </c>
      <c r="AE36" s="168">
        <v>1</v>
      </c>
      <c r="AF36" s="168">
        <v>1</v>
      </c>
      <c r="AG36" s="168">
        <v>1</v>
      </c>
      <c r="AH36" s="169"/>
      <c r="AI36" s="168">
        <v>1</v>
      </c>
      <c r="AJ36" s="168">
        <v>1</v>
      </c>
      <c r="AK36" s="168">
        <v>1</v>
      </c>
    </row>
    <row r="37" spans="1:37" ht="12.6" customHeight="1">
      <c r="A37" s="88"/>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row>
    <row r="38" spans="1:37" ht="12.6" customHeight="1">
      <c r="A38" s="156" t="s">
        <v>2276</v>
      </c>
      <c r="B38" s="156"/>
      <c r="C38" s="156"/>
      <c r="D38" s="156"/>
      <c r="E38" s="156"/>
      <c r="F38" s="156"/>
      <c r="G38" s="156"/>
      <c r="H38" s="88"/>
      <c r="I38" s="156"/>
      <c r="J38" s="156"/>
      <c r="K38" s="156"/>
      <c r="L38" s="156"/>
      <c r="M38" s="88"/>
      <c r="N38" s="156"/>
      <c r="O38" s="156"/>
      <c r="P38" s="156"/>
      <c r="Q38" s="156"/>
      <c r="R38" s="88"/>
      <c r="S38" s="156"/>
      <c r="T38" s="156"/>
      <c r="U38" s="156"/>
      <c r="V38" s="156"/>
      <c r="W38" s="88"/>
      <c r="X38" s="88"/>
      <c r="Y38" s="88"/>
      <c r="Z38" s="88"/>
      <c r="AA38" s="88"/>
      <c r="AB38" s="88"/>
      <c r="AC38" s="88"/>
      <c r="AD38" s="88"/>
      <c r="AE38" s="88"/>
      <c r="AF38" s="88"/>
      <c r="AG38" s="88"/>
      <c r="AH38" s="88"/>
      <c r="AI38" s="88"/>
      <c r="AJ38" s="88"/>
      <c r="AK38" s="88"/>
    </row>
    <row r="39" spans="1:37" ht="12.6" customHeight="1">
      <c r="A39" s="88"/>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100"/>
      <c r="AB39" s="100"/>
      <c r="AC39" s="100"/>
      <c r="AD39" s="100"/>
      <c r="AE39" s="88"/>
      <c r="AF39" s="100"/>
      <c r="AG39" s="100"/>
      <c r="AH39" s="100"/>
      <c r="AI39" s="88"/>
      <c r="AJ39" s="88"/>
      <c r="AK39" s="88"/>
    </row>
    <row r="40" spans="1:37" ht="12.6" customHeight="1">
      <c r="A40" s="88"/>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row>
    <row r="41" spans="1:37" ht="12.6" customHeight="1">
      <c r="A41" s="88"/>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row>
    <row r="42" spans="1:37" ht="12" customHeight="1">
      <c r="A42" s="88"/>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row>
    <row r="56" spans="1:34" ht="12.6" customHeight="1">
      <c r="AG56" s="23"/>
      <c r="AH56" s="23"/>
    </row>
    <row r="57" spans="1:34" ht="12.6" customHeight="1">
      <c r="X57" s="40"/>
      <c r="AA57" s="23"/>
      <c r="AB57" s="23"/>
      <c r="AC57" s="23"/>
      <c r="AD57" s="23"/>
      <c r="AF57" s="23"/>
      <c r="AG57" s="23"/>
      <c r="AH57" s="23"/>
    </row>
    <row r="58" spans="1:34" ht="12.6" customHeight="1">
      <c r="A58" s="7"/>
      <c r="B58" s="7"/>
      <c r="C58" s="7"/>
      <c r="D58" s="7"/>
      <c r="E58" s="7"/>
      <c r="F58" s="7"/>
      <c r="G58" s="7"/>
      <c r="I58" s="7"/>
      <c r="J58" s="7"/>
      <c r="K58" s="7"/>
      <c r="L58" s="7"/>
      <c r="N58" s="7"/>
      <c r="O58" s="7"/>
      <c r="P58" s="7"/>
      <c r="Q58" s="7"/>
    </row>
  </sheetData>
  <phoneticPr fontId="0" type="noConversion"/>
  <pageMargins left="0.75" right="0.75" top="1" bottom="1" header="0.5" footer="0.5"/>
  <pageSetup scale="89" orientation="portrait"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79CB-BE9B-4EAC-B958-8501AF458A02}">
  <sheetPr>
    <pageSetUpPr fitToPage="1"/>
  </sheetPr>
  <dimension ref="A8:M52"/>
  <sheetViews>
    <sheetView topLeftCell="A10" zoomScale="106" zoomScaleNormal="115" workbookViewId="0">
      <selection activeCell="B19" sqref="B18:B19"/>
    </sheetView>
  </sheetViews>
  <sheetFormatPr defaultColWidth="8.85546875" defaultRowHeight="12.6" customHeight="1"/>
  <cols>
    <col min="1" max="1" width="35.5703125" style="9" customWidth="1"/>
    <col min="2" max="3" width="7.7109375" style="9" customWidth="1"/>
    <col min="4" max="6" width="7.5703125" style="9" customWidth="1"/>
    <col min="7" max="9" width="7.7109375" style="9" customWidth="1"/>
    <col min="10" max="14" width="7.5703125" style="9" customWidth="1"/>
    <col min="15" max="15" width="10.5703125" style="9" bestFit="1" customWidth="1"/>
    <col min="16" max="16" width="11.85546875" style="9" bestFit="1" customWidth="1"/>
    <col min="17" max="16384" width="8.85546875" style="9"/>
  </cols>
  <sheetData>
    <row r="8" spans="1:13" ht="12.6" customHeight="1">
      <c r="A8" s="76" t="s">
        <v>1708</v>
      </c>
      <c r="B8" s="8"/>
      <c r="C8" s="8"/>
      <c r="D8" s="8"/>
      <c r="E8" s="8"/>
      <c r="F8" s="8"/>
      <c r="G8" s="8"/>
      <c r="H8" s="8"/>
      <c r="I8" s="8"/>
      <c r="J8" s="8"/>
      <c r="K8" s="8"/>
      <c r="L8" s="8"/>
      <c r="M8" s="8"/>
    </row>
    <row r="9" spans="1:13" ht="12.6" customHeight="1">
      <c r="A9" s="77" t="s">
        <v>3</v>
      </c>
      <c r="B9" s="8"/>
      <c r="C9" s="8"/>
      <c r="D9" s="8"/>
      <c r="E9" s="8"/>
      <c r="F9" s="8"/>
      <c r="G9" s="8"/>
      <c r="H9" s="8"/>
      <c r="I9" s="8"/>
      <c r="J9" s="10"/>
      <c r="K9" s="8"/>
      <c r="L9" s="8"/>
      <c r="M9" s="8"/>
    </row>
    <row r="10" spans="1:13" ht="12.6" customHeight="1">
      <c r="G10" s="10"/>
    </row>
    <row r="11" spans="1:13" ht="12.6" customHeight="1">
      <c r="A11" s="27" t="s">
        <v>1634</v>
      </c>
      <c r="G11" s="10"/>
    </row>
    <row r="12" spans="1:13" ht="12.6" customHeight="1">
      <c r="A12" s="27"/>
      <c r="G12" s="10"/>
    </row>
    <row r="13" spans="1:13" ht="12.6" customHeight="1">
      <c r="A13" s="107"/>
      <c r="B13" s="87"/>
      <c r="G13" s="10"/>
    </row>
    <row r="14" spans="1:13" ht="12.6" customHeight="1">
      <c r="A14" s="81">
        <v>2021</v>
      </c>
      <c r="B14" s="118">
        <v>77.3</v>
      </c>
      <c r="C14" s="56"/>
      <c r="G14" s="10"/>
    </row>
    <row r="15" spans="1:13" ht="12.6" customHeight="1">
      <c r="A15" s="81">
        <v>2022</v>
      </c>
      <c r="B15" s="118">
        <v>106.8</v>
      </c>
      <c r="C15" s="56"/>
      <c r="G15" s="10"/>
    </row>
    <row r="16" spans="1:13" ht="12.6" customHeight="1">
      <c r="A16" s="81">
        <v>2023</v>
      </c>
      <c r="B16" s="118">
        <v>118.7</v>
      </c>
      <c r="C16" s="39"/>
      <c r="G16" s="10"/>
    </row>
    <row r="17" spans="1:7" ht="12.6" customHeight="1">
      <c r="A17" s="81">
        <v>2024</v>
      </c>
      <c r="B17" s="118">
        <v>155.69999999999999</v>
      </c>
      <c r="G17" s="10"/>
    </row>
    <row r="18" spans="1:7" ht="12.6" customHeight="1">
      <c r="A18" s="81" t="s">
        <v>2182</v>
      </c>
      <c r="B18" s="118">
        <v>25.3</v>
      </c>
      <c r="G18" s="10"/>
    </row>
    <row r="19" spans="1:7" ht="12.6" customHeight="1">
      <c r="A19" s="81" t="s">
        <v>2230</v>
      </c>
      <c r="B19" s="118">
        <v>54.3</v>
      </c>
      <c r="G19" s="10"/>
    </row>
    <row r="20" spans="1:7" ht="12.6" customHeight="1">
      <c r="A20" s="95" t="s">
        <v>22</v>
      </c>
      <c r="B20" s="91">
        <f>SUM(B14:B19)</f>
        <v>538.1</v>
      </c>
      <c r="C20" s="39"/>
      <c r="D20" s="39"/>
      <c r="G20" s="10"/>
    </row>
    <row r="21" spans="1:7" ht="12.6" customHeight="1">
      <c r="A21" s="10"/>
      <c r="G21" s="10"/>
    </row>
    <row r="22" spans="1:7" ht="12.6" customHeight="1">
      <c r="A22" s="53" t="s">
        <v>1630</v>
      </c>
      <c r="G22" s="10"/>
    </row>
    <row r="23" spans="1:7" ht="12.6" customHeight="1">
      <c r="A23" s="27"/>
    </row>
    <row r="24" spans="1:7" ht="12.6" customHeight="1">
      <c r="A24" s="111"/>
      <c r="B24" s="112" t="s">
        <v>2277</v>
      </c>
      <c r="C24" s="88"/>
      <c r="D24" s="112">
        <v>2024</v>
      </c>
      <c r="E24" s="112">
        <v>2023</v>
      </c>
      <c r="F24" s="112">
        <v>2022</v>
      </c>
      <c r="G24" s="112">
        <v>2021</v>
      </c>
    </row>
    <row r="25" spans="1:7" ht="12.6" customHeight="1">
      <c r="A25" s="117" t="s">
        <v>1779</v>
      </c>
      <c r="B25" s="118">
        <v>55.9</v>
      </c>
      <c r="C25" s="88"/>
      <c r="D25" s="118">
        <v>107.5</v>
      </c>
      <c r="E25" s="118">
        <v>87.3</v>
      </c>
      <c r="F25" s="118">
        <v>82.1</v>
      </c>
      <c r="G25" s="118">
        <v>40.700000000000003</v>
      </c>
    </row>
    <row r="26" spans="1:7" ht="12.6" customHeight="1">
      <c r="A26" s="117" t="s">
        <v>1632</v>
      </c>
      <c r="B26" s="118">
        <v>10</v>
      </c>
      <c r="C26" s="88"/>
      <c r="D26" s="118">
        <v>14.8</v>
      </c>
      <c r="E26" s="118">
        <v>9.6999999999999993</v>
      </c>
      <c r="F26" s="118">
        <v>2.2999999999999998</v>
      </c>
      <c r="G26" s="118">
        <v>3</v>
      </c>
    </row>
    <row r="27" spans="1:7" ht="12.6" customHeight="1">
      <c r="A27" s="117" t="s">
        <v>1631</v>
      </c>
      <c r="B27" s="118">
        <v>1.9</v>
      </c>
      <c r="C27" s="88"/>
      <c r="D27" s="118">
        <v>7.7</v>
      </c>
      <c r="E27" s="118">
        <v>2.6</v>
      </c>
      <c r="F27" s="118">
        <v>4.5</v>
      </c>
      <c r="G27" s="118">
        <v>5.8202750000000005</v>
      </c>
    </row>
    <row r="28" spans="1:7" ht="12.6" customHeight="1">
      <c r="A28" s="117" t="s">
        <v>1780</v>
      </c>
      <c r="B28" s="118">
        <v>2.2000000000000002</v>
      </c>
      <c r="C28" s="88"/>
      <c r="D28" s="118">
        <v>7</v>
      </c>
      <c r="E28" s="118">
        <v>7.3</v>
      </c>
      <c r="F28" s="118">
        <v>7</v>
      </c>
      <c r="G28" s="118">
        <v>9.5</v>
      </c>
    </row>
    <row r="29" spans="1:7" ht="12.6" customHeight="1">
      <c r="A29" s="117" t="s">
        <v>2071</v>
      </c>
      <c r="B29" s="118">
        <v>0.8</v>
      </c>
      <c r="C29" s="88"/>
      <c r="D29" s="118">
        <v>6.7</v>
      </c>
      <c r="E29" s="118">
        <v>1.4</v>
      </c>
      <c r="F29" s="118">
        <v>0</v>
      </c>
      <c r="G29" s="118">
        <v>1.4</v>
      </c>
    </row>
    <row r="30" spans="1:7" ht="12.6" customHeight="1">
      <c r="A30" s="117" t="s">
        <v>1781</v>
      </c>
      <c r="B30" s="118">
        <v>1</v>
      </c>
      <c r="C30" s="88"/>
      <c r="D30" s="118">
        <v>4</v>
      </c>
      <c r="E30" s="118">
        <v>3.8</v>
      </c>
      <c r="F30" s="118">
        <v>6.9</v>
      </c>
      <c r="G30" s="118">
        <v>2</v>
      </c>
    </row>
    <row r="31" spans="1:7" ht="12.6" customHeight="1">
      <c r="A31" s="171" t="s">
        <v>1782</v>
      </c>
      <c r="B31" s="172">
        <v>4.8</v>
      </c>
      <c r="C31" s="88"/>
      <c r="D31" s="172">
        <v>3.5</v>
      </c>
      <c r="E31" s="172">
        <v>2.2999999999999998</v>
      </c>
      <c r="F31" s="172">
        <v>2.5</v>
      </c>
      <c r="G31" s="172">
        <v>0.6</v>
      </c>
    </row>
    <row r="32" spans="1:7" ht="12.6" customHeight="1">
      <c r="A32" s="117" t="s">
        <v>2072</v>
      </c>
      <c r="B32" s="118">
        <v>0</v>
      </c>
      <c r="C32" s="88"/>
      <c r="D32" s="118">
        <v>0.2</v>
      </c>
      <c r="E32" s="118">
        <v>1.7</v>
      </c>
      <c r="F32" s="118">
        <v>0</v>
      </c>
      <c r="G32" s="118">
        <v>0</v>
      </c>
    </row>
    <row r="33" spans="1:12" ht="12.6" customHeight="1">
      <c r="A33" s="117" t="s">
        <v>2073</v>
      </c>
      <c r="B33" s="118">
        <v>0</v>
      </c>
      <c r="C33" s="88"/>
      <c r="D33" s="118">
        <v>0</v>
      </c>
      <c r="E33" s="118">
        <v>0.7</v>
      </c>
      <c r="F33" s="118">
        <v>1.4</v>
      </c>
      <c r="G33" s="118">
        <v>0</v>
      </c>
    </row>
    <row r="34" spans="1:12" ht="12.6" customHeight="1">
      <c r="A34" s="171" t="s">
        <v>1633</v>
      </c>
      <c r="B34" s="172">
        <v>0</v>
      </c>
      <c r="C34" s="88"/>
      <c r="D34" s="172">
        <v>0</v>
      </c>
      <c r="E34" s="172">
        <v>0</v>
      </c>
      <c r="F34" s="172">
        <v>0</v>
      </c>
      <c r="G34" s="172">
        <v>5.3</v>
      </c>
    </row>
    <row r="35" spans="1:12" ht="12.6" customHeight="1">
      <c r="A35" s="117" t="s">
        <v>92</v>
      </c>
      <c r="B35" s="118">
        <v>3</v>
      </c>
      <c r="C35" s="88"/>
      <c r="D35" s="118">
        <v>4.4000000000000004</v>
      </c>
      <c r="E35" s="118">
        <v>1.9</v>
      </c>
      <c r="F35" s="118">
        <v>0.1</v>
      </c>
      <c r="G35" s="118">
        <v>9</v>
      </c>
    </row>
    <row r="36" spans="1:12" ht="12.6" customHeight="1">
      <c r="A36" s="120" t="s">
        <v>22</v>
      </c>
      <c r="B36" s="121">
        <v>79.5</v>
      </c>
      <c r="C36" s="88"/>
      <c r="D36" s="121">
        <v>155.69999999999999</v>
      </c>
      <c r="E36" s="121">
        <f>SUM(E25:E35)</f>
        <v>118.7</v>
      </c>
      <c r="F36" s="121">
        <f t="shared" ref="F36:G36" si="0">SUM(F25:F35)</f>
        <v>106.8</v>
      </c>
      <c r="G36" s="121">
        <f t="shared" si="0"/>
        <v>77.320275000000009</v>
      </c>
    </row>
    <row r="38" spans="1:12" ht="12.6" customHeight="1">
      <c r="A38" s="53" t="s">
        <v>2278</v>
      </c>
    </row>
    <row r="45" spans="1:12" ht="12.6" customHeight="1">
      <c r="A45" s="156" t="s">
        <v>2279</v>
      </c>
      <c r="B45" s="88"/>
      <c r="C45" s="88"/>
      <c r="D45" s="88"/>
      <c r="E45" s="88"/>
      <c r="F45" s="88"/>
      <c r="G45" s="88"/>
      <c r="H45" s="88"/>
      <c r="I45" s="88"/>
      <c r="J45" s="88"/>
      <c r="K45" s="88"/>
      <c r="L45" s="88"/>
    </row>
    <row r="46" spans="1:12" ht="12.6" customHeight="1">
      <c r="A46" s="88" t="s">
        <v>1967</v>
      </c>
      <c r="B46" s="88"/>
      <c r="C46" s="88"/>
      <c r="D46" s="88"/>
      <c r="E46" s="88"/>
      <c r="F46" s="88"/>
      <c r="G46" s="88"/>
      <c r="H46" s="88"/>
      <c r="I46" s="88"/>
      <c r="J46" s="88"/>
      <c r="K46" s="88"/>
      <c r="L46" s="88"/>
    </row>
    <row r="47" spans="1:12" ht="12.6" customHeight="1">
      <c r="A47" s="88" t="s">
        <v>1783</v>
      </c>
      <c r="B47" s="88"/>
      <c r="C47" s="88"/>
      <c r="D47" s="88"/>
      <c r="E47" s="88"/>
      <c r="F47" s="88"/>
      <c r="G47" s="88"/>
      <c r="H47" s="88"/>
      <c r="I47" s="88"/>
      <c r="J47" s="88"/>
      <c r="K47" s="88"/>
      <c r="L47" s="88"/>
    </row>
    <row r="48" spans="1:12" ht="12.6" customHeight="1">
      <c r="A48" s="88" t="s">
        <v>1912</v>
      </c>
      <c r="B48" s="88"/>
      <c r="C48" s="88"/>
      <c r="D48" s="88"/>
      <c r="E48" s="88"/>
      <c r="F48" s="88"/>
      <c r="G48" s="88"/>
      <c r="H48" s="88"/>
      <c r="I48" s="88"/>
      <c r="J48" s="88"/>
      <c r="K48" s="88"/>
      <c r="L48" s="88"/>
    </row>
    <row r="49" spans="1:12" ht="12.6" customHeight="1">
      <c r="A49" s="88" t="s">
        <v>1636</v>
      </c>
      <c r="B49" s="88"/>
      <c r="C49" s="88"/>
      <c r="D49" s="88"/>
      <c r="E49" s="88"/>
      <c r="F49" s="88"/>
      <c r="G49" s="88"/>
      <c r="H49" s="88"/>
      <c r="I49" s="88"/>
      <c r="J49" s="88"/>
      <c r="K49" s="88"/>
      <c r="L49" s="88"/>
    </row>
    <row r="50" spans="1:12" ht="12.6" customHeight="1">
      <c r="A50" s="88" t="s">
        <v>1637</v>
      </c>
      <c r="B50" s="88"/>
      <c r="C50" s="88"/>
      <c r="D50" s="88"/>
      <c r="E50" s="88"/>
      <c r="F50" s="88"/>
      <c r="G50" s="88"/>
      <c r="H50" s="88"/>
      <c r="I50" s="88"/>
      <c r="J50" s="88"/>
      <c r="K50" s="88"/>
      <c r="L50" s="88"/>
    </row>
    <row r="51" spans="1:12" ht="12.6" customHeight="1">
      <c r="A51" s="88" t="s">
        <v>1635</v>
      </c>
      <c r="B51" s="88"/>
      <c r="C51" s="88"/>
      <c r="D51" s="88"/>
      <c r="E51" s="88"/>
      <c r="F51" s="88"/>
      <c r="G51" s="88"/>
      <c r="H51" s="88"/>
      <c r="I51" s="88"/>
      <c r="J51" s="88"/>
      <c r="K51" s="88"/>
      <c r="L51" s="88"/>
    </row>
    <row r="52" spans="1:12" ht="12.6" customHeight="1">
      <c r="A52" s="88"/>
      <c r="B52" s="88"/>
      <c r="C52" s="88"/>
      <c r="D52" s="88"/>
      <c r="E52" s="88"/>
      <c r="F52" s="88"/>
      <c r="G52" s="88"/>
      <c r="H52" s="88"/>
      <c r="I52" s="88"/>
      <c r="J52" s="88"/>
      <c r="K52" s="88"/>
      <c r="L52" s="88"/>
    </row>
  </sheetData>
  <pageMargins left="0.75" right="0.75" top="1" bottom="1" header="0.5" footer="0.5"/>
  <pageSetup scale="65" orientation="landscape" horizontalDpi="1200" verticalDpi="1200" r:id="rId1"/>
  <headerFooter alignWithMargins="0"/>
  <ignoredErrors>
    <ignoredError sqref="E36:G36"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8:AS63"/>
  <sheetViews>
    <sheetView topLeftCell="A22" zoomScale="85" zoomScaleNormal="85" workbookViewId="0">
      <selection activeCell="F32" sqref="F32"/>
    </sheetView>
  </sheetViews>
  <sheetFormatPr defaultColWidth="8.85546875" defaultRowHeight="12.6" customHeight="1"/>
  <cols>
    <col min="1" max="1" width="15.5703125" style="9" customWidth="1"/>
    <col min="2" max="3" width="10.7109375" style="9" bestFit="1" customWidth="1"/>
    <col min="4" max="4" width="8.85546875" style="9" customWidth="1"/>
    <col min="5" max="5" width="10.7109375" style="9" bestFit="1" customWidth="1"/>
    <col min="6" max="6" width="10.5703125" style="9" bestFit="1" customWidth="1"/>
    <col min="7" max="7" width="10.7109375" style="9" bestFit="1" customWidth="1"/>
    <col min="8" max="8" width="10.5703125" style="9" bestFit="1" customWidth="1"/>
    <col min="9" max="9" width="11.7109375" style="9" bestFit="1" customWidth="1"/>
    <col min="10" max="10" width="8.85546875" style="9" customWidth="1"/>
    <col min="11" max="13" width="10.7109375" style="9" bestFit="1" customWidth="1"/>
    <col min="14" max="14" width="10.28515625" style="9" bestFit="1" customWidth="1"/>
    <col min="15" max="15" width="11.85546875" style="9" bestFit="1" customWidth="1"/>
    <col min="16" max="16" width="8.85546875" style="9" customWidth="1"/>
    <col min="17" max="17" width="10.5703125" style="9" bestFit="1" customWidth="1"/>
    <col min="18" max="20" width="10.7109375" style="9" bestFit="1" customWidth="1"/>
    <col min="21" max="21" width="11.7109375" style="9" bestFit="1" customWidth="1"/>
    <col min="22" max="22" width="8.85546875" style="9" customWidth="1"/>
    <col min="23" max="24" width="10.5703125" style="9" bestFit="1" customWidth="1"/>
    <col min="25" max="25" width="10.42578125" style="9" bestFit="1" customWidth="1"/>
    <col min="26" max="26" width="10.5703125" style="9" bestFit="1" customWidth="1"/>
    <col min="27" max="27" width="11.7109375" style="9" bestFit="1" customWidth="1"/>
    <col min="28" max="28" width="7.5703125" style="9" customWidth="1"/>
    <col min="29" max="29" width="10" style="9" bestFit="1" customWidth="1"/>
    <col min="30" max="30" width="9.42578125" style="9" bestFit="1" customWidth="1"/>
    <col min="31" max="31" width="9.5703125" style="9" bestFit="1" customWidth="1"/>
    <col min="32" max="32" width="9.42578125" style="9" bestFit="1" customWidth="1"/>
    <col min="33" max="33" width="10.7109375" style="9" bestFit="1" customWidth="1"/>
    <col min="34" max="34" width="8.42578125" style="9" customWidth="1"/>
    <col min="35" max="35" width="10.140625" style="9" bestFit="1" customWidth="1"/>
    <col min="36" max="37" width="10" style="9" bestFit="1" customWidth="1"/>
    <col min="38" max="38" width="9.5703125" style="9" bestFit="1" customWidth="1"/>
    <col min="39" max="39" width="10.7109375" style="9" bestFit="1" customWidth="1"/>
    <col min="40" max="40" width="8.42578125" style="9" customWidth="1"/>
    <col min="41" max="42" width="10.7109375" style="9" bestFit="1" customWidth="1"/>
    <col min="43" max="43" width="10.5703125" style="9" bestFit="1" customWidth="1"/>
    <col min="44" max="44" width="10.85546875" style="9" bestFit="1" customWidth="1"/>
    <col min="45" max="45" width="10.7109375" style="9" bestFit="1" customWidth="1"/>
    <col min="46" max="46" width="9.140625" style="9" customWidth="1"/>
    <col min="47" max="16384" width="8.85546875" style="9"/>
  </cols>
  <sheetData>
    <row r="8" spans="1:45" ht="12.6" customHeight="1">
      <c r="A8" s="76" t="s">
        <v>1</v>
      </c>
    </row>
    <row r="9" spans="1:45" ht="12.6" customHeight="1">
      <c r="A9" s="77" t="s">
        <v>74</v>
      </c>
    </row>
    <row r="11" spans="1:45" ht="12.6" customHeight="1">
      <c r="A11" s="86" t="s">
        <v>1638</v>
      </c>
    </row>
    <row r="12" spans="1:45" ht="12.6" customHeight="1">
      <c r="E12" s="21"/>
      <c r="M12" s="21"/>
      <c r="S12" s="21"/>
      <c r="Y12" s="21"/>
      <c r="AE12" s="21"/>
    </row>
    <row r="13" spans="1:45" ht="12.6" customHeight="1">
      <c r="A13" s="140"/>
      <c r="B13" s="80" t="s">
        <v>2184</v>
      </c>
      <c r="C13" s="80" t="s">
        <v>2233</v>
      </c>
      <c r="D13" s="63"/>
      <c r="E13" s="80" t="s">
        <v>1914</v>
      </c>
      <c r="F13" s="80" t="s">
        <v>1969</v>
      </c>
      <c r="G13" s="80" t="s">
        <v>2020</v>
      </c>
      <c r="H13" s="80" t="s">
        <v>2069</v>
      </c>
      <c r="I13" s="80" t="s">
        <v>54</v>
      </c>
      <c r="J13" s="63"/>
      <c r="K13" s="80" t="s">
        <v>1589</v>
      </c>
      <c r="L13" s="80" t="s">
        <v>1662</v>
      </c>
      <c r="M13" s="80" t="s">
        <v>1728</v>
      </c>
      <c r="N13" s="80" t="s">
        <v>1785</v>
      </c>
      <c r="O13" s="80" t="s">
        <v>54</v>
      </c>
      <c r="P13" s="63"/>
      <c r="Q13" s="80" t="s">
        <v>1310</v>
      </c>
      <c r="R13" s="80" t="s">
        <v>1366</v>
      </c>
      <c r="S13" s="80" t="s">
        <v>1404</v>
      </c>
      <c r="T13" s="80" t="s">
        <v>1467</v>
      </c>
      <c r="U13" s="80" t="s">
        <v>54</v>
      </c>
      <c r="V13" s="63"/>
      <c r="W13" s="80" t="s">
        <v>1048</v>
      </c>
      <c r="X13" s="80" t="s">
        <v>1094</v>
      </c>
      <c r="Y13" s="80" t="s">
        <v>1142</v>
      </c>
      <c r="Z13" s="80" t="s">
        <v>1194</v>
      </c>
      <c r="AA13" s="80" t="s">
        <v>54</v>
      </c>
      <c r="AB13" s="63"/>
      <c r="AC13" s="80" t="s">
        <v>565</v>
      </c>
      <c r="AD13" s="80" t="s">
        <v>788</v>
      </c>
      <c r="AE13" s="80" t="s">
        <v>845</v>
      </c>
      <c r="AF13" s="80" t="s">
        <v>900</v>
      </c>
      <c r="AG13" s="80" t="s">
        <v>54</v>
      </c>
      <c r="AH13" s="63"/>
      <c r="AI13" s="80" t="s">
        <v>404</v>
      </c>
      <c r="AJ13" s="80" t="s">
        <v>405</v>
      </c>
      <c r="AK13" s="80" t="s">
        <v>406</v>
      </c>
      <c r="AL13" s="80" t="s">
        <v>407</v>
      </c>
      <c r="AM13" s="173" t="s">
        <v>54</v>
      </c>
      <c r="AN13" s="174"/>
      <c r="AO13" s="116">
        <v>2018</v>
      </c>
      <c r="AP13" s="116">
        <v>2017</v>
      </c>
      <c r="AQ13" s="116">
        <v>2016</v>
      </c>
      <c r="AR13" s="116">
        <v>2015</v>
      </c>
      <c r="AS13" s="116">
        <v>2014</v>
      </c>
    </row>
    <row r="14" spans="1:45" ht="12.6" customHeight="1">
      <c r="A14" s="81" t="s">
        <v>12</v>
      </c>
      <c r="B14" s="175" t="s">
        <v>179</v>
      </c>
      <c r="C14" s="175" t="s">
        <v>328</v>
      </c>
      <c r="D14" s="63"/>
      <c r="E14" s="175" t="s">
        <v>595</v>
      </c>
      <c r="F14" s="175" t="s">
        <v>1368</v>
      </c>
      <c r="G14" s="175" t="s">
        <v>520</v>
      </c>
      <c r="H14" s="175" t="s">
        <v>179</v>
      </c>
      <c r="I14" s="175" t="s">
        <v>2080</v>
      </c>
      <c r="J14" s="63"/>
      <c r="K14" s="175" t="s">
        <v>1590</v>
      </c>
      <c r="L14" s="175" t="s">
        <v>359</v>
      </c>
      <c r="M14" s="175" t="s">
        <v>595</v>
      </c>
      <c r="N14" s="175" t="s">
        <v>595</v>
      </c>
      <c r="O14" s="175" t="s">
        <v>1796</v>
      </c>
      <c r="P14" s="63"/>
      <c r="Q14" s="175" t="s">
        <v>260</v>
      </c>
      <c r="R14" s="175" t="s">
        <v>1367</v>
      </c>
      <c r="S14" s="175" t="s">
        <v>1367</v>
      </c>
      <c r="T14" s="175" t="s">
        <v>901</v>
      </c>
      <c r="U14" s="175" t="s">
        <v>1555</v>
      </c>
      <c r="V14" s="63"/>
      <c r="W14" s="175" t="s">
        <v>555</v>
      </c>
      <c r="X14" s="175" t="s">
        <v>79</v>
      </c>
      <c r="Y14" s="175" t="s">
        <v>298</v>
      </c>
      <c r="Z14" s="175" t="s">
        <v>298</v>
      </c>
      <c r="AA14" s="175" t="s">
        <v>1293</v>
      </c>
      <c r="AB14" s="63"/>
      <c r="AC14" s="175" t="s">
        <v>455</v>
      </c>
      <c r="AD14" s="175" t="s">
        <v>455</v>
      </c>
      <c r="AE14" s="175" t="s">
        <v>846</v>
      </c>
      <c r="AF14" s="175" t="s">
        <v>846</v>
      </c>
      <c r="AG14" s="175" t="s">
        <v>945</v>
      </c>
      <c r="AH14" s="63"/>
      <c r="AI14" s="175" t="s">
        <v>63</v>
      </c>
      <c r="AJ14" s="175" t="s">
        <v>455</v>
      </c>
      <c r="AK14" s="175" t="s">
        <v>455</v>
      </c>
      <c r="AL14" s="175" t="s">
        <v>455</v>
      </c>
      <c r="AM14" s="176" t="s">
        <v>594</v>
      </c>
      <c r="AN14" s="174"/>
      <c r="AO14" s="176" t="s">
        <v>47</v>
      </c>
      <c r="AP14" s="176" t="s">
        <v>113</v>
      </c>
      <c r="AQ14" s="176" t="s">
        <v>80</v>
      </c>
      <c r="AR14" s="176" t="s">
        <v>83</v>
      </c>
      <c r="AS14" s="176" t="s">
        <v>46</v>
      </c>
    </row>
    <row r="15" spans="1:45" ht="12.6" customHeight="1">
      <c r="A15" s="81" t="s">
        <v>13</v>
      </c>
      <c r="B15" s="175" t="s">
        <v>2185</v>
      </c>
      <c r="C15" s="175" t="s">
        <v>2234</v>
      </c>
      <c r="D15" s="63"/>
      <c r="E15" s="175" t="s">
        <v>1789</v>
      </c>
      <c r="F15" s="175" t="s">
        <v>1970</v>
      </c>
      <c r="G15" s="175" t="s">
        <v>2021</v>
      </c>
      <c r="H15" s="175" t="s">
        <v>2074</v>
      </c>
      <c r="I15" s="175" t="s">
        <v>2081</v>
      </c>
      <c r="J15" s="63"/>
      <c r="K15" s="175" t="s">
        <v>1591</v>
      </c>
      <c r="L15" s="175" t="s">
        <v>1591</v>
      </c>
      <c r="M15" s="175" t="s">
        <v>1729</v>
      </c>
      <c r="N15" s="175" t="s">
        <v>1789</v>
      </c>
      <c r="O15" s="175" t="s">
        <v>1797</v>
      </c>
      <c r="P15" s="63"/>
      <c r="Q15" s="175" t="s">
        <v>595</v>
      </c>
      <c r="R15" s="175" t="s">
        <v>1368</v>
      </c>
      <c r="S15" s="175" t="s">
        <v>1368</v>
      </c>
      <c r="T15" s="175" t="s">
        <v>1547</v>
      </c>
      <c r="U15" s="175" t="s">
        <v>1556</v>
      </c>
      <c r="V15" s="63"/>
      <c r="W15" s="175" t="s">
        <v>560</v>
      </c>
      <c r="X15" s="175" t="s">
        <v>291</v>
      </c>
      <c r="Y15" s="175" t="s">
        <v>595</v>
      </c>
      <c r="Z15" s="175" t="s">
        <v>595</v>
      </c>
      <c r="AA15" s="175" t="s">
        <v>1294</v>
      </c>
      <c r="AB15" s="63"/>
      <c r="AC15" s="175" t="s">
        <v>108</v>
      </c>
      <c r="AD15" s="175" t="s">
        <v>108</v>
      </c>
      <c r="AE15" s="175" t="s">
        <v>298</v>
      </c>
      <c r="AF15" s="175" t="s">
        <v>560</v>
      </c>
      <c r="AG15" s="175" t="s">
        <v>946</v>
      </c>
      <c r="AH15" s="63"/>
      <c r="AI15" s="175" t="s">
        <v>47</v>
      </c>
      <c r="AJ15" s="175" t="s">
        <v>67</v>
      </c>
      <c r="AK15" s="175" t="s">
        <v>555</v>
      </c>
      <c r="AL15" s="175" t="s">
        <v>310</v>
      </c>
      <c r="AM15" s="176" t="s">
        <v>595</v>
      </c>
      <c r="AN15" s="174"/>
      <c r="AO15" s="176" t="s">
        <v>79</v>
      </c>
      <c r="AP15" s="176" t="s">
        <v>225</v>
      </c>
      <c r="AQ15" s="176" t="s">
        <v>99</v>
      </c>
      <c r="AR15" s="176" t="s">
        <v>101</v>
      </c>
      <c r="AS15" s="176" t="s">
        <v>146</v>
      </c>
    </row>
    <row r="16" spans="1:45" ht="12.6" customHeight="1">
      <c r="A16" s="81" t="s">
        <v>16</v>
      </c>
      <c r="B16" s="175" t="s">
        <v>2186</v>
      </c>
      <c r="C16" s="175" t="s">
        <v>2235</v>
      </c>
      <c r="D16" s="63"/>
      <c r="E16" s="175" t="s">
        <v>1915</v>
      </c>
      <c r="F16" s="175" t="s">
        <v>1971</v>
      </c>
      <c r="G16" s="175" t="s">
        <v>2022</v>
      </c>
      <c r="H16" s="175" t="s">
        <v>2022</v>
      </c>
      <c r="I16" s="175" t="s">
        <v>2082</v>
      </c>
      <c r="J16" s="63"/>
      <c r="K16" s="175" t="s">
        <v>1592</v>
      </c>
      <c r="L16" s="175" t="s">
        <v>1663</v>
      </c>
      <c r="M16" s="175" t="s">
        <v>1730</v>
      </c>
      <c r="N16" s="175" t="s">
        <v>1790</v>
      </c>
      <c r="O16" s="175" t="s">
        <v>1798</v>
      </c>
      <c r="P16" s="63"/>
      <c r="Q16" s="175" t="s">
        <v>1314</v>
      </c>
      <c r="R16" s="175" t="s">
        <v>1369</v>
      </c>
      <c r="S16" s="175" t="s">
        <v>1405</v>
      </c>
      <c r="T16" s="175" t="s">
        <v>1548</v>
      </c>
      <c r="U16" s="175" t="s">
        <v>1557</v>
      </c>
      <c r="V16" s="63"/>
      <c r="W16" s="175" t="s">
        <v>1049</v>
      </c>
      <c r="X16" s="175" t="s">
        <v>1096</v>
      </c>
      <c r="Y16" s="175" t="s">
        <v>1143</v>
      </c>
      <c r="Z16" s="175" t="s">
        <v>1195</v>
      </c>
      <c r="AA16" s="175" t="s">
        <v>1295</v>
      </c>
      <c r="AB16" s="63"/>
      <c r="AC16" s="175" t="s">
        <v>596</v>
      </c>
      <c r="AD16" s="175" t="s">
        <v>789</v>
      </c>
      <c r="AE16" s="175" t="s">
        <v>847</v>
      </c>
      <c r="AF16" s="175" t="s">
        <v>847</v>
      </c>
      <c r="AG16" s="175" t="s">
        <v>947</v>
      </c>
      <c r="AH16" s="63"/>
      <c r="AI16" s="175" t="s">
        <v>421</v>
      </c>
      <c r="AJ16" s="175" t="s">
        <v>456</v>
      </c>
      <c r="AK16" s="175" t="s">
        <v>556</v>
      </c>
      <c r="AL16" s="175" t="s">
        <v>597</v>
      </c>
      <c r="AM16" s="176" t="s">
        <v>598</v>
      </c>
      <c r="AN16" s="174"/>
      <c r="AO16" s="176" t="s">
        <v>361</v>
      </c>
      <c r="AP16" s="176" t="s">
        <v>195</v>
      </c>
      <c r="AQ16" s="176" t="s">
        <v>178</v>
      </c>
      <c r="AR16" s="176" t="s">
        <v>102</v>
      </c>
      <c r="AS16" s="176" t="s">
        <v>66</v>
      </c>
    </row>
    <row r="17" spans="1:45" ht="12.6" customHeight="1">
      <c r="A17" s="81" t="s">
        <v>17</v>
      </c>
      <c r="B17" s="175" t="s">
        <v>2187</v>
      </c>
      <c r="C17" s="175" t="s">
        <v>2187</v>
      </c>
      <c r="D17" s="63"/>
      <c r="E17" s="175" t="s">
        <v>1917</v>
      </c>
      <c r="F17" s="175" t="s">
        <v>1973</v>
      </c>
      <c r="G17" s="175" t="s">
        <v>1973</v>
      </c>
      <c r="H17" s="175" t="s">
        <v>1973</v>
      </c>
      <c r="I17" s="175" t="s">
        <v>2084</v>
      </c>
      <c r="J17" s="63"/>
      <c r="K17" s="175" t="s">
        <v>1549</v>
      </c>
      <c r="L17" s="175" t="s">
        <v>1664</v>
      </c>
      <c r="M17" s="175" t="s">
        <v>1664</v>
      </c>
      <c r="N17" s="175" t="s">
        <v>1791</v>
      </c>
      <c r="O17" s="175" t="s">
        <v>1799</v>
      </c>
      <c r="P17" s="63"/>
      <c r="Q17" s="175" t="s">
        <v>1315</v>
      </c>
      <c r="R17" s="175" t="s">
        <v>1315</v>
      </c>
      <c r="S17" s="175" t="s">
        <v>1406</v>
      </c>
      <c r="T17" s="175" t="s">
        <v>1549</v>
      </c>
      <c r="U17" s="175" t="s">
        <v>1558</v>
      </c>
      <c r="V17" s="63"/>
      <c r="W17" s="175" t="s">
        <v>594</v>
      </c>
      <c r="X17" s="175" t="s">
        <v>594</v>
      </c>
      <c r="Y17" s="175" t="s">
        <v>1144</v>
      </c>
      <c r="Z17" s="175" t="s">
        <v>252</v>
      </c>
      <c r="AA17" s="175" t="s">
        <v>1296</v>
      </c>
      <c r="AB17" s="63"/>
      <c r="AC17" s="175" t="s">
        <v>127</v>
      </c>
      <c r="AD17" s="175" t="s">
        <v>127</v>
      </c>
      <c r="AE17" s="175" t="s">
        <v>127</v>
      </c>
      <c r="AF17" s="175" t="s">
        <v>901</v>
      </c>
      <c r="AG17" s="175" t="s">
        <v>948</v>
      </c>
      <c r="AH17" s="63"/>
      <c r="AI17" s="175" t="s">
        <v>46</v>
      </c>
      <c r="AJ17" s="175" t="s">
        <v>310</v>
      </c>
      <c r="AK17" s="175" t="s">
        <v>298</v>
      </c>
      <c r="AL17" s="175" t="s">
        <v>298</v>
      </c>
      <c r="AM17" s="176" t="s">
        <v>599</v>
      </c>
      <c r="AN17" s="174"/>
      <c r="AO17" s="176" t="s">
        <v>186</v>
      </c>
      <c r="AP17" s="176" t="s">
        <v>226</v>
      </c>
      <c r="AQ17" s="176" t="s">
        <v>179</v>
      </c>
      <c r="AR17" s="176" t="s">
        <v>100</v>
      </c>
      <c r="AS17" s="176" t="s">
        <v>147</v>
      </c>
    </row>
    <row r="18" spans="1:45" ht="12.6" customHeight="1">
      <c r="A18" s="81" t="s">
        <v>19</v>
      </c>
      <c r="B18" s="175" t="s">
        <v>2188</v>
      </c>
      <c r="C18" s="175" t="s">
        <v>2236</v>
      </c>
      <c r="D18" s="63"/>
      <c r="E18" s="175" t="s">
        <v>1918</v>
      </c>
      <c r="F18" s="175" t="s">
        <v>1974</v>
      </c>
      <c r="G18" s="175" t="s">
        <v>2023</v>
      </c>
      <c r="H18" s="175" t="s">
        <v>2076</v>
      </c>
      <c r="I18" s="175" t="s">
        <v>2085</v>
      </c>
      <c r="J18" s="63"/>
      <c r="K18" s="175" t="s">
        <v>1593</v>
      </c>
      <c r="L18" s="175" t="s">
        <v>1665</v>
      </c>
      <c r="M18" s="175" t="s">
        <v>1731</v>
      </c>
      <c r="N18" s="175" t="s">
        <v>790</v>
      </c>
      <c r="O18" s="175" t="s">
        <v>1800</v>
      </c>
      <c r="P18" s="63"/>
      <c r="Q18" s="175" t="s">
        <v>1316</v>
      </c>
      <c r="R18" s="175" t="s">
        <v>1370</v>
      </c>
      <c r="S18" s="175" t="s">
        <v>1407</v>
      </c>
      <c r="T18" s="175" t="s">
        <v>1550</v>
      </c>
      <c r="U18" s="175" t="s">
        <v>1559</v>
      </c>
      <c r="V18" s="63"/>
      <c r="W18" s="175" t="s">
        <v>1050</v>
      </c>
      <c r="X18" s="175" t="s">
        <v>1097</v>
      </c>
      <c r="Y18" s="175" t="s">
        <v>1145</v>
      </c>
      <c r="Z18" s="175" t="s">
        <v>1196</v>
      </c>
      <c r="AA18" s="175" t="s">
        <v>1297</v>
      </c>
      <c r="AB18" s="63"/>
      <c r="AC18" s="175" t="s">
        <v>600</v>
      </c>
      <c r="AD18" s="175" t="s">
        <v>600</v>
      </c>
      <c r="AE18" s="175" t="s">
        <v>848</v>
      </c>
      <c r="AF18" s="175" t="s">
        <v>902</v>
      </c>
      <c r="AG18" s="175" t="s">
        <v>949</v>
      </c>
      <c r="AH18" s="63"/>
      <c r="AI18" s="175" t="s">
        <v>422</v>
      </c>
      <c r="AJ18" s="175" t="s">
        <v>457</v>
      </c>
      <c r="AK18" s="175" t="s">
        <v>457</v>
      </c>
      <c r="AL18" s="175" t="s">
        <v>601</v>
      </c>
      <c r="AM18" s="176" t="s">
        <v>602</v>
      </c>
      <c r="AN18" s="174"/>
      <c r="AO18" s="176" t="s">
        <v>362</v>
      </c>
      <c r="AP18" s="176" t="s">
        <v>227</v>
      </c>
      <c r="AQ18" s="176" t="s">
        <v>162</v>
      </c>
      <c r="AR18" s="176" t="s">
        <v>103</v>
      </c>
      <c r="AS18" s="176" t="s">
        <v>148</v>
      </c>
    </row>
    <row r="19" spans="1:45" ht="12.6" customHeight="1">
      <c r="A19" s="81" t="s">
        <v>20</v>
      </c>
      <c r="B19" s="175" t="s">
        <v>2189</v>
      </c>
      <c r="C19" s="175" t="s">
        <v>2237</v>
      </c>
      <c r="D19" s="63"/>
      <c r="E19" s="175" t="s">
        <v>1919</v>
      </c>
      <c r="F19" s="175" t="s">
        <v>1975</v>
      </c>
      <c r="G19" s="175" t="s">
        <v>2024</v>
      </c>
      <c r="H19" s="175" t="s">
        <v>2077</v>
      </c>
      <c r="I19" s="175" t="s">
        <v>2086</v>
      </c>
      <c r="J19" s="63"/>
      <c r="K19" s="175" t="s">
        <v>1594</v>
      </c>
      <c r="L19" s="175" t="s">
        <v>1666</v>
      </c>
      <c r="M19" s="175" t="s">
        <v>1732</v>
      </c>
      <c r="N19" s="175" t="s">
        <v>1792</v>
      </c>
      <c r="O19" s="175" t="s">
        <v>1801</v>
      </c>
      <c r="P19" s="63"/>
      <c r="Q19" s="175" t="s">
        <v>1317</v>
      </c>
      <c r="R19" s="175" t="s">
        <v>1371</v>
      </c>
      <c r="S19" s="175" t="s">
        <v>1408</v>
      </c>
      <c r="T19" s="175" t="s">
        <v>1551</v>
      </c>
      <c r="U19" s="175" t="s">
        <v>1560</v>
      </c>
      <c r="V19" s="63"/>
      <c r="W19" s="175" t="s">
        <v>1051</v>
      </c>
      <c r="X19" s="175" t="s">
        <v>1098</v>
      </c>
      <c r="Y19" s="175" t="s">
        <v>1146</v>
      </c>
      <c r="Z19" s="175" t="s">
        <v>1197</v>
      </c>
      <c r="AA19" s="175" t="s">
        <v>1298</v>
      </c>
      <c r="AB19" s="63"/>
      <c r="AC19" s="175" t="s">
        <v>603</v>
      </c>
      <c r="AD19" s="175" t="s">
        <v>790</v>
      </c>
      <c r="AE19" s="175" t="s">
        <v>849</v>
      </c>
      <c r="AF19" s="175" t="s">
        <v>903</v>
      </c>
      <c r="AG19" s="175" t="s">
        <v>950</v>
      </c>
      <c r="AH19" s="63"/>
      <c r="AI19" s="175" t="s">
        <v>423</v>
      </c>
      <c r="AJ19" s="175" t="s">
        <v>458</v>
      </c>
      <c r="AK19" s="175" t="s">
        <v>557</v>
      </c>
      <c r="AL19" s="175" t="s">
        <v>604</v>
      </c>
      <c r="AM19" s="176" t="s">
        <v>605</v>
      </c>
      <c r="AN19" s="174"/>
      <c r="AO19" s="176" t="s">
        <v>363</v>
      </c>
      <c r="AP19" s="176" t="s">
        <v>228</v>
      </c>
      <c r="AQ19" s="176" t="s">
        <v>180</v>
      </c>
      <c r="AR19" s="176" t="s">
        <v>104</v>
      </c>
      <c r="AS19" s="176" t="s">
        <v>149</v>
      </c>
    </row>
    <row r="20" spans="1:45" ht="12.6" customHeight="1">
      <c r="A20" s="81" t="s">
        <v>21</v>
      </c>
      <c r="B20" s="175" t="s">
        <v>2190</v>
      </c>
      <c r="C20" s="175" t="s">
        <v>2238</v>
      </c>
      <c r="D20" s="63"/>
      <c r="E20" s="175" t="s">
        <v>1916</v>
      </c>
      <c r="F20" s="175" t="s">
        <v>1972</v>
      </c>
      <c r="G20" s="175" t="s">
        <v>2025</v>
      </c>
      <c r="H20" s="175" t="s">
        <v>2075</v>
      </c>
      <c r="I20" s="175" t="s">
        <v>2083</v>
      </c>
      <c r="J20" s="63"/>
      <c r="K20" s="175" t="s">
        <v>1595</v>
      </c>
      <c r="L20" s="175" t="s">
        <v>1667</v>
      </c>
      <c r="M20" s="175" t="s">
        <v>1733</v>
      </c>
      <c r="N20" s="175" t="s">
        <v>1793</v>
      </c>
      <c r="O20" s="175" t="s">
        <v>1802</v>
      </c>
      <c r="P20" s="63"/>
      <c r="Q20" s="175" t="s">
        <v>1318</v>
      </c>
      <c r="R20" s="175" t="s">
        <v>1372</v>
      </c>
      <c r="S20" s="175" t="s">
        <v>1409</v>
      </c>
      <c r="T20" s="175" t="s">
        <v>1552</v>
      </c>
      <c r="U20" s="175" t="s">
        <v>1561</v>
      </c>
      <c r="V20" s="63"/>
      <c r="W20" s="175" t="s">
        <v>1052</v>
      </c>
      <c r="X20" s="175" t="s">
        <v>1099</v>
      </c>
      <c r="Y20" s="175" t="s">
        <v>1147</v>
      </c>
      <c r="Z20" s="175" t="s">
        <v>1198</v>
      </c>
      <c r="AA20" s="175" t="s">
        <v>1299</v>
      </c>
      <c r="AB20" s="63"/>
      <c r="AC20" s="175" t="s">
        <v>337</v>
      </c>
      <c r="AD20" s="175" t="s">
        <v>791</v>
      </c>
      <c r="AE20" s="175" t="s">
        <v>850</v>
      </c>
      <c r="AF20" s="175" t="s">
        <v>904</v>
      </c>
      <c r="AG20" s="175" t="s">
        <v>951</v>
      </c>
      <c r="AH20" s="63"/>
      <c r="AI20" s="175" t="s">
        <v>326</v>
      </c>
      <c r="AJ20" s="175" t="s">
        <v>80</v>
      </c>
      <c r="AK20" s="175" t="s">
        <v>95</v>
      </c>
      <c r="AL20" s="175" t="s">
        <v>247</v>
      </c>
      <c r="AM20" s="176" t="s">
        <v>254</v>
      </c>
      <c r="AN20" s="174"/>
      <c r="AO20" s="176" t="s">
        <v>274</v>
      </c>
      <c r="AP20" s="176" t="s">
        <v>229</v>
      </c>
      <c r="AQ20" s="176" t="s">
        <v>181</v>
      </c>
      <c r="AR20" s="176" t="s">
        <v>105</v>
      </c>
      <c r="AS20" s="176" t="s">
        <v>150</v>
      </c>
    </row>
    <row r="21" spans="1:45" ht="12.6" customHeight="1">
      <c r="A21" s="177" t="s">
        <v>44</v>
      </c>
      <c r="B21" s="176" t="s">
        <v>2191</v>
      </c>
      <c r="C21" s="176" t="s">
        <v>2239</v>
      </c>
      <c r="D21" s="63"/>
      <c r="E21" s="176" t="s">
        <v>1920</v>
      </c>
      <c r="F21" s="176" t="s">
        <v>1976</v>
      </c>
      <c r="G21" s="176" t="s">
        <v>2026</v>
      </c>
      <c r="H21" s="176" t="s">
        <v>2078</v>
      </c>
      <c r="I21" s="176" t="s">
        <v>2087</v>
      </c>
      <c r="J21" s="63"/>
      <c r="K21" s="176" t="s">
        <v>1596</v>
      </c>
      <c r="L21" s="176" t="s">
        <v>1668</v>
      </c>
      <c r="M21" s="176" t="s">
        <v>1734</v>
      </c>
      <c r="N21" s="176" t="s">
        <v>1794</v>
      </c>
      <c r="O21" s="176" t="s">
        <v>1803</v>
      </c>
      <c r="P21" s="63"/>
      <c r="Q21" s="176" t="s">
        <v>1319</v>
      </c>
      <c r="R21" s="176" t="s">
        <v>1373</v>
      </c>
      <c r="S21" s="176" t="s">
        <v>1410</v>
      </c>
      <c r="T21" s="176" t="s">
        <v>1553</v>
      </c>
      <c r="U21" s="176" t="s">
        <v>1562</v>
      </c>
      <c r="V21" s="63"/>
      <c r="W21" s="176" t="s">
        <v>1053</v>
      </c>
      <c r="X21" s="176" t="s">
        <v>1101</v>
      </c>
      <c r="Y21" s="176" t="s">
        <v>1148</v>
      </c>
      <c r="Z21" s="176" t="s">
        <v>1199</v>
      </c>
      <c r="AA21" s="176" t="s">
        <v>1256</v>
      </c>
      <c r="AB21" s="63"/>
      <c r="AC21" s="176" t="s">
        <v>606</v>
      </c>
      <c r="AD21" s="176" t="s">
        <v>792</v>
      </c>
      <c r="AE21" s="176" t="s">
        <v>851</v>
      </c>
      <c r="AF21" s="176" t="s">
        <v>905</v>
      </c>
      <c r="AG21" s="176" t="s">
        <v>952</v>
      </c>
      <c r="AH21" s="63"/>
      <c r="AI21" s="176" t="s">
        <v>424</v>
      </c>
      <c r="AJ21" s="176" t="s">
        <v>459</v>
      </c>
      <c r="AK21" s="176" t="s">
        <v>558</v>
      </c>
      <c r="AL21" s="176" t="s">
        <v>607</v>
      </c>
      <c r="AM21" s="176" t="s">
        <v>608</v>
      </c>
      <c r="AN21" s="174"/>
      <c r="AO21" s="176" t="s">
        <v>364</v>
      </c>
      <c r="AP21" s="176" t="s">
        <v>230</v>
      </c>
      <c r="AQ21" s="176" t="s">
        <v>182</v>
      </c>
      <c r="AR21" s="176" t="s">
        <v>106</v>
      </c>
      <c r="AS21" s="176" t="s">
        <v>151</v>
      </c>
    </row>
    <row r="22" spans="1:45" ht="12.6" customHeight="1">
      <c r="A22" s="99" t="s">
        <v>23</v>
      </c>
      <c r="B22" s="176" t="s">
        <v>2192</v>
      </c>
      <c r="C22" s="176" t="s">
        <v>2240</v>
      </c>
      <c r="D22" s="63"/>
      <c r="E22" s="176" t="s">
        <v>1921</v>
      </c>
      <c r="F22" s="176" t="s">
        <v>1977</v>
      </c>
      <c r="G22" s="176" t="s">
        <v>2027</v>
      </c>
      <c r="H22" s="176" t="s">
        <v>2079</v>
      </c>
      <c r="I22" s="176" t="s">
        <v>2088</v>
      </c>
      <c r="J22" s="63"/>
      <c r="K22" s="176" t="s">
        <v>1597</v>
      </c>
      <c r="L22" s="176" t="s">
        <v>1669</v>
      </c>
      <c r="M22" s="176" t="s">
        <v>1735</v>
      </c>
      <c r="N22" s="176" t="s">
        <v>1795</v>
      </c>
      <c r="O22" s="176" t="s">
        <v>1804</v>
      </c>
      <c r="P22" s="63"/>
      <c r="Q22" s="176" t="s">
        <v>1320</v>
      </c>
      <c r="R22" s="176" t="s">
        <v>1374</v>
      </c>
      <c r="S22" s="176" t="s">
        <v>1411</v>
      </c>
      <c r="T22" s="176" t="s">
        <v>1554</v>
      </c>
      <c r="U22" s="176" t="s">
        <v>1563</v>
      </c>
      <c r="V22" s="63"/>
      <c r="W22" s="176" t="s">
        <v>1054</v>
      </c>
      <c r="X22" s="176" t="s">
        <v>1100</v>
      </c>
      <c r="Y22" s="176" t="s">
        <v>1149</v>
      </c>
      <c r="Z22" s="176" t="s">
        <v>1200</v>
      </c>
      <c r="AA22" s="176" t="s">
        <v>1261</v>
      </c>
      <c r="AB22" s="63"/>
      <c r="AC22" s="176" t="s">
        <v>609</v>
      </c>
      <c r="AD22" s="176" t="s">
        <v>793</v>
      </c>
      <c r="AE22" s="176" t="s">
        <v>852</v>
      </c>
      <c r="AF22" s="176" t="s">
        <v>906</v>
      </c>
      <c r="AG22" s="176" t="s">
        <v>953</v>
      </c>
      <c r="AH22" s="63"/>
      <c r="AI22" s="176" t="s">
        <v>425</v>
      </c>
      <c r="AJ22" s="176" t="s">
        <v>460</v>
      </c>
      <c r="AK22" s="176" t="s">
        <v>559</v>
      </c>
      <c r="AL22" s="176" t="s">
        <v>610</v>
      </c>
      <c r="AM22" s="176" t="s">
        <v>611</v>
      </c>
      <c r="AN22" s="174"/>
      <c r="AO22" s="176" t="s">
        <v>365</v>
      </c>
      <c r="AP22" s="176" t="s">
        <v>231</v>
      </c>
      <c r="AQ22" s="176" t="s">
        <v>183</v>
      </c>
      <c r="AR22" s="176" t="s">
        <v>107</v>
      </c>
      <c r="AS22" s="176" t="s">
        <v>152</v>
      </c>
    </row>
    <row r="23" spans="1:45" ht="12.6" customHeight="1">
      <c r="AI23" s="8"/>
    </row>
    <row r="24" spans="1:45" ht="12.6" customHeight="1">
      <c r="A24" s="86" t="s">
        <v>1639</v>
      </c>
    </row>
    <row r="25" spans="1:45" ht="12.6" customHeight="1">
      <c r="G25" s="21"/>
      <c r="I25" s="21"/>
      <c r="O25" s="21"/>
      <c r="U25" s="21"/>
      <c r="AA25" s="21"/>
      <c r="AG25" s="21"/>
    </row>
    <row r="26" spans="1:45" ht="12.6" customHeight="1">
      <c r="A26" s="140"/>
      <c r="B26" s="80" t="s">
        <v>2184</v>
      </c>
      <c r="C26" s="80" t="s">
        <v>2233</v>
      </c>
      <c r="D26" s="63"/>
      <c r="E26" s="80" t="s">
        <v>1914</v>
      </c>
      <c r="F26" s="80" t="s">
        <v>1969</v>
      </c>
      <c r="G26" s="80" t="s">
        <v>2020</v>
      </c>
      <c r="H26" s="80" t="s">
        <v>2069</v>
      </c>
      <c r="I26" s="80" t="s">
        <v>54</v>
      </c>
      <c r="J26" s="63"/>
      <c r="K26" s="80" t="s">
        <v>1589</v>
      </c>
      <c r="L26" s="80" t="s">
        <v>1662</v>
      </c>
      <c r="M26" s="80" t="s">
        <v>1728</v>
      </c>
      <c r="N26" s="80" t="s">
        <v>1785</v>
      </c>
      <c r="O26" s="80" t="s">
        <v>54</v>
      </c>
      <c r="P26" s="63"/>
      <c r="Q26" s="80" t="s">
        <v>1310</v>
      </c>
      <c r="R26" s="80" t="s">
        <v>1366</v>
      </c>
      <c r="S26" s="80" t="s">
        <v>1404</v>
      </c>
      <c r="T26" s="80" t="s">
        <v>1467</v>
      </c>
      <c r="U26" s="80" t="s">
        <v>54</v>
      </c>
      <c r="V26" s="63"/>
      <c r="W26" s="80" t="s">
        <v>1048</v>
      </c>
      <c r="X26" s="80" t="s">
        <v>1094</v>
      </c>
      <c r="Y26" s="80" t="s">
        <v>1142</v>
      </c>
      <c r="Z26" s="80" t="s">
        <v>1194</v>
      </c>
      <c r="AA26" s="80" t="s">
        <v>54</v>
      </c>
      <c r="AB26" s="63"/>
      <c r="AC26" s="80" t="s">
        <v>565</v>
      </c>
      <c r="AD26" s="80" t="s">
        <v>788</v>
      </c>
      <c r="AE26" s="80" t="s">
        <v>845</v>
      </c>
      <c r="AF26" s="80" t="s">
        <v>900</v>
      </c>
      <c r="AG26" s="80" t="s">
        <v>54</v>
      </c>
      <c r="AH26" s="63"/>
      <c r="AI26" s="80" t="s">
        <v>404</v>
      </c>
      <c r="AJ26" s="80" t="s">
        <v>405</v>
      </c>
      <c r="AK26" s="80" t="s">
        <v>406</v>
      </c>
      <c r="AL26" s="80" t="s">
        <v>407</v>
      </c>
      <c r="AM26" s="173" t="s">
        <v>54</v>
      </c>
      <c r="AN26" s="174"/>
      <c r="AO26" s="116">
        <v>2018</v>
      </c>
      <c r="AP26" s="116">
        <v>2017</v>
      </c>
      <c r="AQ26" s="116">
        <v>2016</v>
      </c>
      <c r="AR26" s="116">
        <v>2015</v>
      </c>
      <c r="AS26" s="116">
        <v>2014</v>
      </c>
    </row>
    <row r="27" spans="1:45" ht="12.6" customHeight="1">
      <c r="A27" s="81" t="s">
        <v>12</v>
      </c>
      <c r="B27" s="175" t="s">
        <v>46</v>
      </c>
      <c r="C27" s="175" t="s">
        <v>47</v>
      </c>
      <c r="D27" s="63"/>
      <c r="E27" s="175" t="s">
        <v>46</v>
      </c>
      <c r="F27" s="175" t="s">
        <v>46</v>
      </c>
      <c r="G27" s="175" t="s">
        <v>46</v>
      </c>
      <c r="H27" s="175" t="s">
        <v>46</v>
      </c>
      <c r="I27" s="175" t="s">
        <v>46</v>
      </c>
      <c r="J27" s="63"/>
      <c r="K27" s="175" t="s">
        <v>46</v>
      </c>
      <c r="L27" s="175" t="s">
        <v>63</v>
      </c>
      <c r="M27" s="175" t="s">
        <v>46</v>
      </c>
      <c r="N27" s="175" t="s">
        <v>46</v>
      </c>
      <c r="O27" s="175" t="s">
        <v>63</v>
      </c>
      <c r="P27" s="63"/>
      <c r="Q27" s="175" t="s">
        <v>46</v>
      </c>
      <c r="R27" s="175" t="s">
        <v>63</v>
      </c>
      <c r="S27" s="175" t="s">
        <v>46</v>
      </c>
      <c r="T27" s="175" t="s">
        <v>46</v>
      </c>
      <c r="U27" s="175" t="s">
        <v>63</v>
      </c>
      <c r="V27" s="63"/>
      <c r="W27" s="175" t="s">
        <v>46</v>
      </c>
      <c r="X27" s="175" t="s">
        <v>46</v>
      </c>
      <c r="Y27" s="175" t="s">
        <v>46</v>
      </c>
      <c r="Z27" s="175" t="s">
        <v>46</v>
      </c>
      <c r="AA27" s="175" t="s">
        <v>46</v>
      </c>
      <c r="AB27" s="63"/>
      <c r="AC27" s="175" t="s">
        <v>46</v>
      </c>
      <c r="AD27" s="175" t="s">
        <v>46</v>
      </c>
      <c r="AE27" s="175" t="s">
        <v>46</v>
      </c>
      <c r="AF27" s="175" t="s">
        <v>46</v>
      </c>
      <c r="AG27" s="175" t="s">
        <v>46</v>
      </c>
      <c r="AH27" s="63"/>
      <c r="AI27" s="175" t="s">
        <v>69</v>
      </c>
      <c r="AJ27" s="175" t="s">
        <v>47</v>
      </c>
      <c r="AK27" s="175" t="s">
        <v>69</v>
      </c>
      <c r="AL27" s="175" t="s">
        <v>46</v>
      </c>
      <c r="AM27" s="176" t="s">
        <v>63</v>
      </c>
      <c r="AN27" s="174"/>
      <c r="AO27" s="176" t="s">
        <v>82</v>
      </c>
      <c r="AP27" s="176" t="s">
        <v>69</v>
      </c>
      <c r="AQ27" s="176" t="s">
        <v>47</v>
      </c>
      <c r="AR27" s="176" t="s">
        <v>77</v>
      </c>
      <c r="AS27" s="176" t="s">
        <v>66</v>
      </c>
    </row>
    <row r="28" spans="1:45" ht="12.6" customHeight="1">
      <c r="A28" s="81" t="s">
        <v>13</v>
      </c>
      <c r="B28" s="175" t="s">
        <v>47</v>
      </c>
      <c r="C28" s="175" t="s">
        <v>47</v>
      </c>
      <c r="D28" s="63"/>
      <c r="E28" s="175" t="s">
        <v>47</v>
      </c>
      <c r="F28" s="175" t="s">
        <v>46</v>
      </c>
      <c r="G28" s="175" t="s">
        <v>925</v>
      </c>
      <c r="H28" s="175" t="s">
        <v>65</v>
      </c>
      <c r="I28" s="175" t="s">
        <v>255</v>
      </c>
      <c r="J28" s="63"/>
      <c r="K28" s="175" t="s">
        <v>143</v>
      </c>
      <c r="L28" s="175" t="s">
        <v>63</v>
      </c>
      <c r="M28" s="175" t="s">
        <v>47</v>
      </c>
      <c r="N28" s="175" t="s">
        <v>47</v>
      </c>
      <c r="O28" s="175" t="s">
        <v>618</v>
      </c>
      <c r="P28" s="63"/>
      <c r="Q28" s="175" t="s">
        <v>69</v>
      </c>
      <c r="R28" s="175" t="s">
        <v>113</v>
      </c>
      <c r="S28" s="175" t="s">
        <v>69</v>
      </c>
      <c r="T28" s="175" t="s">
        <v>69</v>
      </c>
      <c r="U28" s="175" t="s">
        <v>243</v>
      </c>
      <c r="V28" s="63"/>
      <c r="W28" s="175" t="s">
        <v>46</v>
      </c>
      <c r="X28" s="175" t="s">
        <v>67</v>
      </c>
      <c r="Y28" s="175" t="s">
        <v>47</v>
      </c>
      <c r="Z28" s="175" t="s">
        <v>46</v>
      </c>
      <c r="AA28" s="175" t="s">
        <v>132</v>
      </c>
      <c r="AB28" s="63"/>
      <c r="AC28" s="175" t="s">
        <v>65</v>
      </c>
      <c r="AD28" s="175" t="s">
        <v>47</v>
      </c>
      <c r="AE28" s="175" t="s">
        <v>47</v>
      </c>
      <c r="AF28" s="175" t="s">
        <v>46</v>
      </c>
      <c r="AG28" s="175" t="s">
        <v>63</v>
      </c>
      <c r="AH28" s="63"/>
      <c r="AI28" s="175" t="s">
        <v>46</v>
      </c>
      <c r="AJ28" s="175" t="s">
        <v>78</v>
      </c>
      <c r="AK28" s="175" t="s">
        <v>47</v>
      </c>
      <c r="AL28" s="175" t="s">
        <v>612</v>
      </c>
      <c r="AM28" s="176" t="s">
        <v>108</v>
      </c>
      <c r="AN28" s="174"/>
      <c r="AO28" s="176" t="s">
        <v>79</v>
      </c>
      <c r="AP28" s="176" t="s">
        <v>201</v>
      </c>
      <c r="AQ28" s="176" t="s">
        <v>185</v>
      </c>
      <c r="AR28" s="176" t="s">
        <v>120</v>
      </c>
      <c r="AS28" s="176" t="s">
        <v>153</v>
      </c>
    </row>
    <row r="29" spans="1:45" ht="12.6" customHeight="1">
      <c r="A29" s="81" t="s">
        <v>16</v>
      </c>
      <c r="B29" s="175" t="s">
        <v>47</v>
      </c>
      <c r="C29" s="175" t="s">
        <v>1590</v>
      </c>
      <c r="D29" s="63"/>
      <c r="E29" s="175" t="s">
        <v>69</v>
      </c>
      <c r="F29" s="175" t="s">
        <v>46</v>
      </c>
      <c r="G29" s="175" t="s">
        <v>47</v>
      </c>
      <c r="H29" s="175" t="s">
        <v>69</v>
      </c>
      <c r="I29" s="175" t="s">
        <v>63</v>
      </c>
      <c r="J29" s="63"/>
      <c r="K29" s="175" t="s">
        <v>46</v>
      </c>
      <c r="L29" s="175" t="s">
        <v>113</v>
      </c>
      <c r="M29" s="175" t="s">
        <v>47</v>
      </c>
      <c r="N29" s="175" t="s">
        <v>67</v>
      </c>
      <c r="O29" s="175" t="s">
        <v>613</v>
      </c>
      <c r="P29" s="63"/>
      <c r="Q29" s="175" t="s">
        <v>46</v>
      </c>
      <c r="R29" s="175" t="s">
        <v>63</v>
      </c>
      <c r="S29" s="175" t="s">
        <v>69</v>
      </c>
      <c r="T29" s="175" t="s">
        <v>63</v>
      </c>
      <c r="U29" s="175" t="s">
        <v>80</v>
      </c>
      <c r="V29" s="63"/>
      <c r="W29" s="175" t="s">
        <v>69</v>
      </c>
      <c r="X29" s="175" t="s">
        <v>161</v>
      </c>
      <c r="Y29" s="175" t="s">
        <v>46</v>
      </c>
      <c r="Z29" s="175" t="s">
        <v>46</v>
      </c>
      <c r="AA29" s="175" t="s">
        <v>80</v>
      </c>
      <c r="AB29" s="63"/>
      <c r="AC29" s="175" t="s">
        <v>46</v>
      </c>
      <c r="AD29" s="175" t="s">
        <v>62</v>
      </c>
      <c r="AE29" s="175" t="s">
        <v>47</v>
      </c>
      <c r="AF29" s="175" t="s">
        <v>907</v>
      </c>
      <c r="AG29" s="175" t="s">
        <v>797</v>
      </c>
      <c r="AH29" s="63"/>
      <c r="AI29" s="175" t="s">
        <v>46</v>
      </c>
      <c r="AJ29" s="175" t="s">
        <v>328</v>
      </c>
      <c r="AK29" s="175" t="s">
        <v>82</v>
      </c>
      <c r="AL29" s="175" t="s">
        <v>46</v>
      </c>
      <c r="AM29" s="176" t="s">
        <v>238</v>
      </c>
      <c r="AN29" s="174"/>
      <c r="AO29" s="176" t="s">
        <v>184</v>
      </c>
      <c r="AP29" s="176" t="s">
        <v>202</v>
      </c>
      <c r="AQ29" s="176" t="s">
        <v>186</v>
      </c>
      <c r="AR29" s="176" t="s">
        <v>121</v>
      </c>
      <c r="AS29" s="176" t="s">
        <v>154</v>
      </c>
    </row>
    <row r="30" spans="1:45" ht="12.6" customHeight="1">
      <c r="A30" s="81" t="s">
        <v>17</v>
      </c>
      <c r="B30" s="175" t="s">
        <v>46</v>
      </c>
      <c r="C30" s="175" t="s">
        <v>641</v>
      </c>
      <c r="D30" s="63"/>
      <c r="E30" s="175" t="s">
        <v>46</v>
      </c>
      <c r="F30" s="175" t="s">
        <v>863</v>
      </c>
      <c r="G30" s="175" t="s">
        <v>67</v>
      </c>
      <c r="H30" s="175" t="s">
        <v>47</v>
      </c>
      <c r="I30" s="175" t="s">
        <v>251</v>
      </c>
      <c r="J30" s="63"/>
      <c r="K30" s="175" t="s">
        <v>86</v>
      </c>
      <c r="L30" s="175" t="s">
        <v>52</v>
      </c>
      <c r="M30" s="175" t="s">
        <v>46</v>
      </c>
      <c r="N30" s="175" t="s">
        <v>1805</v>
      </c>
      <c r="O30" s="175" t="s">
        <v>1809</v>
      </c>
      <c r="P30" s="63"/>
      <c r="Q30" s="175" t="s">
        <v>69</v>
      </c>
      <c r="R30" s="175" t="s">
        <v>81</v>
      </c>
      <c r="S30" s="175" t="s">
        <v>65</v>
      </c>
      <c r="T30" s="175" t="s">
        <v>143</v>
      </c>
      <c r="U30" s="175" t="s">
        <v>925</v>
      </c>
      <c r="V30" s="63"/>
      <c r="W30" s="175" t="s">
        <v>193</v>
      </c>
      <c r="X30" s="175" t="s">
        <v>46</v>
      </c>
      <c r="Y30" s="175" t="s">
        <v>46</v>
      </c>
      <c r="Z30" s="175" t="s">
        <v>46</v>
      </c>
      <c r="AA30" s="175" t="s">
        <v>193</v>
      </c>
      <c r="AB30" s="63"/>
      <c r="AC30" s="175" t="s">
        <v>308</v>
      </c>
      <c r="AD30" s="175" t="s">
        <v>46</v>
      </c>
      <c r="AE30" s="175" t="s">
        <v>46</v>
      </c>
      <c r="AF30" s="175" t="s">
        <v>46</v>
      </c>
      <c r="AG30" s="175" t="s">
        <v>308</v>
      </c>
      <c r="AH30" s="63"/>
      <c r="AI30" s="175" t="s">
        <v>51</v>
      </c>
      <c r="AJ30" s="175" t="s">
        <v>65</v>
      </c>
      <c r="AK30" s="175" t="s">
        <v>51</v>
      </c>
      <c r="AL30" s="175" t="s">
        <v>613</v>
      </c>
      <c r="AM30" s="176" t="s">
        <v>335</v>
      </c>
      <c r="AN30" s="174"/>
      <c r="AO30" s="176" t="s">
        <v>315</v>
      </c>
      <c r="AP30" s="176" t="s">
        <v>203</v>
      </c>
      <c r="AQ30" s="176" t="s">
        <v>187</v>
      </c>
      <c r="AR30" s="176" t="s">
        <v>96</v>
      </c>
      <c r="AS30" s="176" t="s">
        <v>155</v>
      </c>
    </row>
    <row r="31" spans="1:45" ht="12.6" customHeight="1">
      <c r="A31" s="81" t="s">
        <v>19</v>
      </c>
      <c r="B31" s="175" t="s">
        <v>84</v>
      </c>
      <c r="C31" s="175" t="s">
        <v>80</v>
      </c>
      <c r="D31" s="63"/>
      <c r="E31" s="175" t="s">
        <v>65</v>
      </c>
      <c r="F31" s="175" t="s">
        <v>47</v>
      </c>
      <c r="G31" s="175" t="s">
        <v>161</v>
      </c>
      <c r="H31" s="175" t="s">
        <v>308</v>
      </c>
      <c r="I31" s="175" t="s">
        <v>2062</v>
      </c>
      <c r="J31" s="63"/>
      <c r="K31" s="175" t="s">
        <v>217</v>
      </c>
      <c r="L31" s="175" t="s">
        <v>613</v>
      </c>
      <c r="M31" s="175" t="s">
        <v>46</v>
      </c>
      <c r="N31" s="175" t="s">
        <v>53</v>
      </c>
      <c r="O31" s="175" t="s">
        <v>1810</v>
      </c>
      <c r="P31" s="63"/>
      <c r="Q31" s="175" t="s">
        <v>1332</v>
      </c>
      <c r="R31" s="175" t="s">
        <v>82</v>
      </c>
      <c r="S31" s="175" t="s">
        <v>78</v>
      </c>
      <c r="T31" s="175" t="s">
        <v>52</v>
      </c>
      <c r="U31" s="175" t="s">
        <v>1469</v>
      </c>
      <c r="V31" s="63"/>
      <c r="W31" s="175" t="s">
        <v>1055</v>
      </c>
      <c r="X31" s="175" t="s">
        <v>1150</v>
      </c>
      <c r="Y31" s="175" t="s">
        <v>69</v>
      </c>
      <c r="Z31" s="175" t="s">
        <v>65</v>
      </c>
      <c r="AA31" s="175" t="s">
        <v>1214</v>
      </c>
      <c r="AB31" s="63"/>
      <c r="AC31" s="175" t="s">
        <v>80</v>
      </c>
      <c r="AD31" s="175" t="s">
        <v>795</v>
      </c>
      <c r="AE31" s="175" t="s">
        <v>863</v>
      </c>
      <c r="AF31" s="175" t="s">
        <v>195</v>
      </c>
      <c r="AG31" s="175" t="s">
        <v>940</v>
      </c>
      <c r="AH31" s="63"/>
      <c r="AI31" s="175" t="s">
        <v>46</v>
      </c>
      <c r="AJ31" s="175" t="s">
        <v>447</v>
      </c>
      <c r="AK31" s="175" t="s">
        <v>80</v>
      </c>
      <c r="AL31" s="175" t="s">
        <v>518</v>
      </c>
      <c r="AM31" s="176" t="s">
        <v>614</v>
      </c>
      <c r="AN31" s="174"/>
      <c r="AO31" s="176" t="s">
        <v>383</v>
      </c>
      <c r="AP31" s="176" t="s">
        <v>204</v>
      </c>
      <c r="AQ31" s="176" t="s">
        <v>188</v>
      </c>
      <c r="AR31" s="176" t="s">
        <v>128</v>
      </c>
      <c r="AS31" s="176" t="s">
        <v>156</v>
      </c>
    </row>
    <row r="32" spans="1:45" ht="12.6" customHeight="1">
      <c r="A32" s="81" t="s">
        <v>20</v>
      </c>
      <c r="B32" s="175" t="s">
        <v>995</v>
      </c>
      <c r="C32" s="175" t="s">
        <v>409</v>
      </c>
      <c r="D32" s="63"/>
      <c r="E32" s="175" t="s">
        <v>1923</v>
      </c>
      <c r="F32" s="175" t="s">
        <v>98</v>
      </c>
      <c r="G32" s="175" t="s">
        <v>2028</v>
      </c>
      <c r="H32" s="175" t="s">
        <v>2089</v>
      </c>
      <c r="I32" s="175" t="s">
        <v>2180</v>
      </c>
      <c r="J32" s="63"/>
      <c r="K32" s="175" t="s">
        <v>585</v>
      </c>
      <c r="L32" s="175" t="s">
        <v>745</v>
      </c>
      <c r="M32" s="175" t="s">
        <v>1753</v>
      </c>
      <c r="N32" s="175" t="s">
        <v>46</v>
      </c>
      <c r="O32" s="175" t="s">
        <v>1134</v>
      </c>
      <c r="P32" s="63"/>
      <c r="Q32" s="175" t="s">
        <v>1333</v>
      </c>
      <c r="R32" s="175" t="s">
        <v>225</v>
      </c>
      <c r="S32" s="175" t="s">
        <v>1412</v>
      </c>
      <c r="T32" s="175" t="s">
        <v>1470</v>
      </c>
      <c r="U32" s="175" t="s">
        <v>1471</v>
      </c>
      <c r="V32" s="63"/>
      <c r="W32" s="175" t="s">
        <v>1056</v>
      </c>
      <c r="X32" s="175" t="s">
        <v>78</v>
      </c>
      <c r="Y32" s="175" t="s">
        <v>134</v>
      </c>
      <c r="Z32" s="175" t="s">
        <v>78</v>
      </c>
      <c r="AA32" s="175" t="s">
        <v>1215</v>
      </c>
      <c r="AB32" s="63"/>
      <c r="AC32" s="175" t="s">
        <v>794</v>
      </c>
      <c r="AD32" s="175" t="s">
        <v>796</v>
      </c>
      <c r="AE32" s="175" t="s">
        <v>864</v>
      </c>
      <c r="AF32" s="175" t="s">
        <v>908</v>
      </c>
      <c r="AG32" s="175" t="s">
        <v>941</v>
      </c>
      <c r="AH32" s="63"/>
      <c r="AI32" s="175" t="s">
        <v>46</v>
      </c>
      <c r="AJ32" s="175" t="s">
        <v>82</v>
      </c>
      <c r="AK32" s="175" t="s">
        <v>537</v>
      </c>
      <c r="AL32" s="175" t="s">
        <v>616</v>
      </c>
      <c r="AM32" s="176" t="s">
        <v>615</v>
      </c>
      <c r="AN32" s="174"/>
      <c r="AO32" s="176" t="s">
        <v>384</v>
      </c>
      <c r="AP32" s="176" t="s">
        <v>205</v>
      </c>
      <c r="AQ32" s="176" t="s">
        <v>189</v>
      </c>
      <c r="AR32" s="176" t="s">
        <v>129</v>
      </c>
      <c r="AS32" s="176" t="s">
        <v>157</v>
      </c>
    </row>
    <row r="33" spans="1:45" ht="12.6" customHeight="1">
      <c r="A33" s="81" t="s">
        <v>21</v>
      </c>
      <c r="B33" s="175" t="s">
        <v>1707</v>
      </c>
      <c r="C33" s="175" t="s">
        <v>1942</v>
      </c>
      <c r="D33" s="63"/>
      <c r="E33" s="175" t="s">
        <v>1922</v>
      </c>
      <c r="F33" s="175" t="s">
        <v>87</v>
      </c>
      <c r="G33" s="175" t="s">
        <v>217</v>
      </c>
      <c r="H33" s="175" t="s">
        <v>2090</v>
      </c>
      <c r="I33" s="175" t="s">
        <v>2093</v>
      </c>
      <c r="J33" s="63"/>
      <c r="K33" s="175" t="s">
        <v>225</v>
      </c>
      <c r="L33" s="175" t="s">
        <v>993</v>
      </c>
      <c r="M33" s="175" t="s">
        <v>1754</v>
      </c>
      <c r="N33" s="175" t="s">
        <v>1806</v>
      </c>
      <c r="O33" s="175" t="s">
        <v>1811</v>
      </c>
      <c r="P33" s="63"/>
      <c r="Q33" s="175" t="s">
        <v>84</v>
      </c>
      <c r="R33" s="175" t="s">
        <v>46</v>
      </c>
      <c r="S33" s="175" t="s">
        <v>97</v>
      </c>
      <c r="T33" s="175" t="s">
        <v>133</v>
      </c>
      <c r="U33" s="175" t="s">
        <v>1472</v>
      </c>
      <c r="V33" s="63"/>
      <c r="W33" s="175" t="s">
        <v>62</v>
      </c>
      <c r="X33" s="175" t="s">
        <v>46</v>
      </c>
      <c r="Y33" s="175" t="s">
        <v>67</v>
      </c>
      <c r="Z33" s="175" t="s">
        <v>47</v>
      </c>
      <c r="AA33" s="175" t="s">
        <v>310</v>
      </c>
      <c r="AB33" s="63"/>
      <c r="AC33" s="175" t="s">
        <v>455</v>
      </c>
      <c r="AD33" s="175" t="s">
        <v>797</v>
      </c>
      <c r="AE33" s="175" t="s">
        <v>865</v>
      </c>
      <c r="AF33" s="175" t="s">
        <v>909</v>
      </c>
      <c r="AG33" s="175" t="s">
        <v>942</v>
      </c>
      <c r="AH33" s="63"/>
      <c r="AI33" s="175" t="s">
        <v>408</v>
      </c>
      <c r="AJ33" s="175" t="s">
        <v>62</v>
      </c>
      <c r="AK33" s="175" t="s">
        <v>515</v>
      </c>
      <c r="AL33" s="175" t="s">
        <v>618</v>
      </c>
      <c r="AM33" s="176" t="s">
        <v>617</v>
      </c>
      <c r="AN33" s="174"/>
      <c r="AO33" s="176" t="s">
        <v>385</v>
      </c>
      <c r="AP33" s="176" t="s">
        <v>206</v>
      </c>
      <c r="AQ33" s="176" t="s">
        <v>190</v>
      </c>
      <c r="AR33" s="176" t="s">
        <v>122</v>
      </c>
      <c r="AS33" s="176" t="s">
        <v>158</v>
      </c>
    </row>
    <row r="34" spans="1:45" ht="12.6" customHeight="1">
      <c r="A34" s="177" t="s">
        <v>44</v>
      </c>
      <c r="B34" s="176" t="s">
        <v>2213</v>
      </c>
      <c r="C34" s="176" t="s">
        <v>2251</v>
      </c>
      <c r="D34" s="63"/>
      <c r="E34" s="176" t="s">
        <v>1924</v>
      </c>
      <c r="F34" s="176" t="s">
        <v>1979</v>
      </c>
      <c r="G34" s="176" t="s">
        <v>2029</v>
      </c>
      <c r="H34" s="176" t="s">
        <v>2091</v>
      </c>
      <c r="I34" s="176" t="s">
        <v>2094</v>
      </c>
      <c r="J34" s="63"/>
      <c r="K34" s="176" t="s">
        <v>1609</v>
      </c>
      <c r="L34" s="176" t="s">
        <v>1670</v>
      </c>
      <c r="M34" s="176" t="s">
        <v>1748</v>
      </c>
      <c r="N34" s="176" t="s">
        <v>1807</v>
      </c>
      <c r="O34" s="176" t="s">
        <v>1812</v>
      </c>
      <c r="P34" s="63"/>
      <c r="Q34" s="176" t="s">
        <v>1334</v>
      </c>
      <c r="R34" s="176" t="s">
        <v>330</v>
      </c>
      <c r="S34" s="176" t="s">
        <v>1413</v>
      </c>
      <c r="T34" s="176" t="s">
        <v>1473</v>
      </c>
      <c r="U34" s="176" t="s">
        <v>1474</v>
      </c>
      <c r="V34" s="63"/>
      <c r="W34" s="176" t="s">
        <v>1057</v>
      </c>
      <c r="X34" s="176" t="s">
        <v>475</v>
      </c>
      <c r="Y34" s="176" t="s">
        <v>1151</v>
      </c>
      <c r="Z34" s="176" t="s">
        <v>80</v>
      </c>
      <c r="AA34" s="176" t="s">
        <v>1213</v>
      </c>
      <c r="AB34" s="63"/>
      <c r="AC34" s="176" t="s">
        <v>648</v>
      </c>
      <c r="AD34" s="176" t="s">
        <v>798</v>
      </c>
      <c r="AE34" s="176" t="s">
        <v>866</v>
      </c>
      <c r="AF34" s="176" t="s">
        <v>910</v>
      </c>
      <c r="AG34" s="176" t="s">
        <v>943</v>
      </c>
      <c r="AH34" s="63"/>
      <c r="AI34" s="176" t="s">
        <v>409</v>
      </c>
      <c r="AJ34" s="176" t="s">
        <v>448</v>
      </c>
      <c r="AK34" s="176" t="s">
        <v>538</v>
      </c>
      <c r="AL34" s="176" t="s">
        <v>620</v>
      </c>
      <c r="AM34" s="176" t="s">
        <v>619</v>
      </c>
      <c r="AN34" s="174"/>
      <c r="AO34" s="176" t="s">
        <v>387</v>
      </c>
      <c r="AP34" s="176" t="s">
        <v>207</v>
      </c>
      <c r="AQ34" s="176" t="s">
        <v>191</v>
      </c>
      <c r="AR34" s="176" t="s">
        <v>130</v>
      </c>
      <c r="AS34" s="176" t="s">
        <v>159</v>
      </c>
    </row>
    <row r="35" spans="1:45" ht="12.6" customHeight="1">
      <c r="A35" s="99" t="s">
        <v>23</v>
      </c>
      <c r="B35" s="176" t="s">
        <v>2214</v>
      </c>
      <c r="C35" s="176" t="s">
        <v>2252</v>
      </c>
      <c r="D35" s="63"/>
      <c r="E35" s="176" t="s">
        <v>1925</v>
      </c>
      <c r="F35" s="176" t="s">
        <v>1980</v>
      </c>
      <c r="G35" s="176" t="s">
        <v>2030</v>
      </c>
      <c r="H35" s="176" t="s">
        <v>2092</v>
      </c>
      <c r="I35" s="176" t="s">
        <v>2095</v>
      </c>
      <c r="J35" s="63"/>
      <c r="K35" s="176" t="s">
        <v>1610</v>
      </c>
      <c r="L35" s="176" t="s">
        <v>1671</v>
      </c>
      <c r="M35" s="176" t="s">
        <v>1752</v>
      </c>
      <c r="N35" s="176" t="s">
        <v>1808</v>
      </c>
      <c r="O35" s="176" t="s">
        <v>1813</v>
      </c>
      <c r="P35" s="63"/>
      <c r="Q35" s="176" t="s">
        <v>1335</v>
      </c>
      <c r="R35" s="176" t="s">
        <v>1386</v>
      </c>
      <c r="S35" s="176" t="s">
        <v>1414</v>
      </c>
      <c r="T35" s="176" t="s">
        <v>1475</v>
      </c>
      <c r="U35" s="176" t="s">
        <v>1476</v>
      </c>
      <c r="V35" s="63"/>
      <c r="W35" s="176" t="s">
        <v>1058</v>
      </c>
      <c r="X35" s="176" t="s">
        <v>1152</v>
      </c>
      <c r="Y35" s="176" t="s">
        <v>1153</v>
      </c>
      <c r="Z35" s="176" t="s">
        <v>1210</v>
      </c>
      <c r="AA35" s="176" t="s">
        <v>1216</v>
      </c>
      <c r="AB35" s="63"/>
      <c r="AC35" s="176" t="s">
        <v>691</v>
      </c>
      <c r="AD35" s="176" t="s">
        <v>799</v>
      </c>
      <c r="AE35" s="176" t="s">
        <v>867</v>
      </c>
      <c r="AF35" s="176" t="s">
        <v>911</v>
      </c>
      <c r="AG35" s="176" t="s">
        <v>944</v>
      </c>
      <c r="AH35" s="63"/>
      <c r="AI35" s="176" t="s">
        <v>410</v>
      </c>
      <c r="AJ35" s="176" t="s">
        <v>449</v>
      </c>
      <c r="AK35" s="176" t="s">
        <v>539</v>
      </c>
      <c r="AL35" s="176" t="s">
        <v>622</v>
      </c>
      <c r="AM35" s="176" t="s">
        <v>621</v>
      </c>
      <c r="AN35" s="174"/>
      <c r="AO35" s="176" t="s">
        <v>389</v>
      </c>
      <c r="AP35" s="176" t="s">
        <v>208</v>
      </c>
      <c r="AQ35" s="176" t="s">
        <v>192</v>
      </c>
      <c r="AR35" s="176" t="s">
        <v>123</v>
      </c>
      <c r="AS35" s="176" t="s">
        <v>160</v>
      </c>
    </row>
    <row r="36" spans="1:45" ht="12.6" customHeight="1">
      <c r="B36" s="88"/>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row>
    <row r="37" spans="1:45" ht="12.6" customHeight="1">
      <c r="A37" s="27" t="s">
        <v>1640</v>
      </c>
      <c r="G37" s="8"/>
      <c r="I37" s="8"/>
      <c r="O37" s="8"/>
      <c r="U37" s="8"/>
      <c r="AA37" s="8"/>
      <c r="AG37" s="8"/>
    </row>
    <row r="38" spans="1:45" ht="12.6" customHeight="1">
      <c r="G38" s="8"/>
      <c r="I38" s="8"/>
      <c r="O38" s="8"/>
      <c r="U38" s="8"/>
      <c r="AA38" s="8"/>
      <c r="AG38" s="8"/>
      <c r="AK38" s="21"/>
    </row>
    <row r="39" spans="1:45" ht="12.6" customHeight="1">
      <c r="A39" s="140"/>
      <c r="B39" s="80" t="s">
        <v>2184</v>
      </c>
      <c r="C39" s="80" t="s">
        <v>2233</v>
      </c>
      <c r="D39" s="63"/>
      <c r="E39" s="80" t="s">
        <v>1914</v>
      </c>
      <c r="F39" s="80" t="s">
        <v>1969</v>
      </c>
      <c r="G39" s="80" t="s">
        <v>2020</v>
      </c>
      <c r="H39" s="80" t="s">
        <v>2069</v>
      </c>
      <c r="I39" s="80" t="s">
        <v>54</v>
      </c>
      <c r="J39" s="63"/>
      <c r="K39" s="80" t="s">
        <v>1589</v>
      </c>
      <c r="L39" s="80" t="s">
        <v>1662</v>
      </c>
      <c r="M39" s="80" t="s">
        <v>1728</v>
      </c>
      <c r="N39" s="80" t="s">
        <v>1785</v>
      </c>
      <c r="O39" s="80" t="s">
        <v>54</v>
      </c>
      <c r="P39" s="63"/>
      <c r="Q39" s="80" t="s">
        <v>1310</v>
      </c>
      <c r="R39" s="80" t="s">
        <v>1366</v>
      </c>
      <c r="S39" s="80" t="s">
        <v>1404</v>
      </c>
      <c r="T39" s="80" t="s">
        <v>1467</v>
      </c>
      <c r="U39" s="80" t="s">
        <v>54</v>
      </c>
      <c r="V39" s="63"/>
      <c r="W39" s="80" t="s">
        <v>1048</v>
      </c>
      <c r="X39" s="80" t="s">
        <v>1094</v>
      </c>
      <c r="Y39" s="80" t="s">
        <v>1142</v>
      </c>
      <c r="Z39" s="80" t="s">
        <v>1194</v>
      </c>
      <c r="AA39" s="80" t="s">
        <v>54</v>
      </c>
      <c r="AB39" s="63"/>
      <c r="AC39" s="80" t="s">
        <v>565</v>
      </c>
      <c r="AD39" s="80" t="s">
        <v>788</v>
      </c>
      <c r="AE39" s="80" t="s">
        <v>845</v>
      </c>
      <c r="AF39" s="80" t="s">
        <v>900</v>
      </c>
      <c r="AG39" s="80" t="s">
        <v>54</v>
      </c>
      <c r="AH39" s="63"/>
      <c r="AI39" s="80" t="s">
        <v>404</v>
      </c>
      <c r="AJ39" s="80" t="s">
        <v>405</v>
      </c>
      <c r="AK39" s="80" t="s">
        <v>406</v>
      </c>
      <c r="AL39" s="80" t="s">
        <v>407</v>
      </c>
      <c r="AM39" s="173" t="s">
        <v>54</v>
      </c>
      <c r="AN39" s="174"/>
      <c r="AO39" s="116">
        <v>2018</v>
      </c>
      <c r="AP39" s="116">
        <v>2017</v>
      </c>
      <c r="AQ39" s="116">
        <v>2016</v>
      </c>
      <c r="AR39" s="116">
        <v>2015</v>
      </c>
      <c r="AS39" s="116">
        <v>2014</v>
      </c>
    </row>
    <row r="40" spans="1:45" ht="12.6" customHeight="1">
      <c r="A40" s="81" t="s">
        <v>12</v>
      </c>
      <c r="B40" s="175" t="s">
        <v>446</v>
      </c>
      <c r="C40" s="175" t="s">
        <v>438</v>
      </c>
      <c r="D40" s="63"/>
      <c r="E40" s="175" t="s">
        <v>438</v>
      </c>
      <c r="F40" s="175" t="s">
        <v>1981</v>
      </c>
      <c r="G40" s="175" t="s">
        <v>531</v>
      </c>
      <c r="H40" s="175" t="s">
        <v>445</v>
      </c>
      <c r="I40" s="175" t="s">
        <v>1945</v>
      </c>
      <c r="J40" s="63"/>
      <c r="K40" s="175" t="s">
        <v>430</v>
      </c>
      <c r="L40" s="175" t="s">
        <v>536</v>
      </c>
      <c r="M40" s="175" t="s">
        <v>1765</v>
      </c>
      <c r="N40" s="175" t="s">
        <v>433</v>
      </c>
      <c r="O40" s="175" t="s">
        <v>1820</v>
      </c>
      <c r="P40" s="63"/>
      <c r="Q40" s="175" t="s">
        <v>430</v>
      </c>
      <c r="R40" s="175" t="s">
        <v>431</v>
      </c>
      <c r="S40" s="175" t="s">
        <v>431</v>
      </c>
      <c r="T40" s="175" t="s">
        <v>445</v>
      </c>
      <c r="U40" s="175" t="s">
        <v>443</v>
      </c>
      <c r="V40" s="63"/>
      <c r="W40" s="175" t="s">
        <v>445</v>
      </c>
      <c r="X40" s="175" t="s">
        <v>800</v>
      </c>
      <c r="Y40" s="175" t="s">
        <v>430</v>
      </c>
      <c r="Z40" s="175" t="s">
        <v>883</v>
      </c>
      <c r="AA40" s="175" t="s">
        <v>1128</v>
      </c>
      <c r="AB40" s="63"/>
      <c r="AC40" s="175" t="s">
        <v>438</v>
      </c>
      <c r="AD40" s="175" t="s">
        <v>800</v>
      </c>
      <c r="AE40" s="175" t="s">
        <v>438</v>
      </c>
      <c r="AF40" s="175" t="s">
        <v>912</v>
      </c>
      <c r="AG40" s="175" t="s">
        <v>933</v>
      </c>
      <c r="AH40" s="63"/>
      <c r="AI40" s="175" t="s">
        <v>47</v>
      </c>
      <c r="AJ40" s="175" t="s">
        <v>438</v>
      </c>
      <c r="AK40" s="175" t="s">
        <v>433</v>
      </c>
      <c r="AL40" s="175" t="s">
        <v>431</v>
      </c>
      <c r="AM40" s="176" t="s">
        <v>80</v>
      </c>
      <c r="AN40" s="174"/>
      <c r="AO40" s="176" t="s">
        <v>334</v>
      </c>
      <c r="AP40" s="176" t="s">
        <v>218</v>
      </c>
      <c r="AQ40" s="176" t="s">
        <v>51</v>
      </c>
      <c r="AR40" s="176" t="s">
        <v>46</v>
      </c>
      <c r="AS40" s="176" t="s">
        <v>47</v>
      </c>
    </row>
    <row r="41" spans="1:45" ht="12.6" customHeight="1">
      <c r="A41" s="81" t="s">
        <v>13</v>
      </c>
      <c r="B41" s="175" t="s">
        <v>1402</v>
      </c>
      <c r="C41" s="175" t="s">
        <v>433</v>
      </c>
      <c r="D41" s="63"/>
      <c r="E41" s="175" t="s">
        <v>438</v>
      </c>
      <c r="F41" s="175" t="s">
        <v>430</v>
      </c>
      <c r="G41" s="175" t="s">
        <v>1769</v>
      </c>
      <c r="H41" s="175" t="s">
        <v>531</v>
      </c>
      <c r="I41" s="175" t="s">
        <v>2099</v>
      </c>
      <c r="J41" s="63"/>
      <c r="K41" s="175" t="s">
        <v>430</v>
      </c>
      <c r="L41" s="175" t="s">
        <v>531</v>
      </c>
      <c r="M41" s="175" t="s">
        <v>1766</v>
      </c>
      <c r="N41" s="175" t="s">
        <v>436</v>
      </c>
      <c r="O41" s="175" t="s">
        <v>1821</v>
      </c>
      <c r="P41" s="63"/>
      <c r="Q41" s="175" t="s">
        <v>430</v>
      </c>
      <c r="R41" s="175" t="s">
        <v>428</v>
      </c>
      <c r="S41" s="175" t="s">
        <v>988</v>
      </c>
      <c r="T41" s="175" t="s">
        <v>531</v>
      </c>
      <c r="U41" s="175" t="s">
        <v>1493</v>
      </c>
      <c r="V41" s="63"/>
      <c r="W41" s="175" t="s">
        <v>438</v>
      </c>
      <c r="X41" s="175" t="s">
        <v>582</v>
      </c>
      <c r="Y41" s="175" t="s">
        <v>430</v>
      </c>
      <c r="Z41" s="175" t="s">
        <v>428</v>
      </c>
      <c r="AA41" s="175" t="s">
        <v>581</v>
      </c>
      <c r="AB41" s="63"/>
      <c r="AC41" s="175" t="s">
        <v>430</v>
      </c>
      <c r="AD41" s="175" t="s">
        <v>445</v>
      </c>
      <c r="AE41" s="175" t="s">
        <v>433</v>
      </c>
      <c r="AF41" s="175" t="s">
        <v>445</v>
      </c>
      <c r="AG41" s="175" t="s">
        <v>431</v>
      </c>
      <c r="AH41" s="63"/>
      <c r="AI41" s="175" t="s">
        <v>67</v>
      </c>
      <c r="AJ41" s="175" t="s">
        <v>433</v>
      </c>
      <c r="AK41" s="175" t="s">
        <v>428</v>
      </c>
      <c r="AL41" s="175" t="s">
        <v>431</v>
      </c>
      <c r="AM41" s="176" t="s">
        <v>97</v>
      </c>
      <c r="AN41" s="174"/>
      <c r="AO41" s="176" t="s">
        <v>335</v>
      </c>
      <c r="AP41" s="176" t="s">
        <v>131</v>
      </c>
      <c r="AQ41" s="176" t="s">
        <v>173</v>
      </c>
      <c r="AR41" s="176" t="s">
        <v>67</v>
      </c>
      <c r="AS41" s="176" t="s">
        <v>133</v>
      </c>
    </row>
    <row r="42" spans="1:45" ht="12.6" customHeight="1">
      <c r="A42" s="81" t="s">
        <v>16</v>
      </c>
      <c r="B42" s="175" t="s">
        <v>2204</v>
      </c>
      <c r="C42" s="175" t="s">
        <v>2212</v>
      </c>
      <c r="D42" s="63"/>
      <c r="E42" s="175" t="s">
        <v>1926</v>
      </c>
      <c r="F42" s="175" t="s">
        <v>1982</v>
      </c>
      <c r="G42" s="175" t="s">
        <v>2031</v>
      </c>
      <c r="H42" s="175" t="s">
        <v>526</v>
      </c>
      <c r="I42" s="175" t="s">
        <v>2100</v>
      </c>
      <c r="J42" s="63"/>
      <c r="K42" s="175" t="s">
        <v>1615</v>
      </c>
      <c r="L42" s="175" t="s">
        <v>1672</v>
      </c>
      <c r="M42" s="175" t="s">
        <v>1767</v>
      </c>
      <c r="N42" s="175" t="s">
        <v>1814</v>
      </c>
      <c r="O42" s="175" t="s">
        <v>1822</v>
      </c>
      <c r="P42" s="63"/>
      <c r="Q42" s="175" t="s">
        <v>437</v>
      </c>
      <c r="R42" s="175" t="s">
        <v>586</v>
      </c>
      <c r="S42" s="175" t="s">
        <v>1415</v>
      </c>
      <c r="T42" s="175" t="s">
        <v>1489</v>
      </c>
      <c r="U42" s="175" t="s">
        <v>1494</v>
      </c>
      <c r="V42" s="63"/>
      <c r="W42" s="175" t="s">
        <v>1059</v>
      </c>
      <c r="X42" s="175" t="s">
        <v>1102</v>
      </c>
      <c r="Y42" s="175" t="s">
        <v>1154</v>
      </c>
      <c r="Z42" s="175" t="s">
        <v>1227</v>
      </c>
      <c r="AA42" s="175" t="s">
        <v>1300</v>
      </c>
      <c r="AB42" s="63"/>
      <c r="AC42" s="175" t="s">
        <v>580</v>
      </c>
      <c r="AD42" s="175" t="s">
        <v>433</v>
      </c>
      <c r="AE42" s="175" t="s">
        <v>875</v>
      </c>
      <c r="AF42" s="175" t="s">
        <v>913</v>
      </c>
      <c r="AG42" s="175" t="s">
        <v>934</v>
      </c>
      <c r="AH42" s="63"/>
      <c r="AI42" s="175" t="s">
        <v>226</v>
      </c>
      <c r="AJ42" s="175" t="s">
        <v>442</v>
      </c>
      <c r="AK42" s="175" t="s">
        <v>526</v>
      </c>
      <c r="AL42" s="175" t="s">
        <v>581</v>
      </c>
      <c r="AM42" s="176" t="s">
        <v>427</v>
      </c>
      <c r="AN42" s="174"/>
      <c r="AO42" s="176" t="s">
        <v>336</v>
      </c>
      <c r="AP42" s="176" t="s">
        <v>219</v>
      </c>
      <c r="AQ42" s="176" t="s">
        <v>174</v>
      </c>
      <c r="AR42" s="176" t="s">
        <v>87</v>
      </c>
      <c r="AS42" s="176" t="s">
        <v>79</v>
      </c>
    </row>
    <row r="43" spans="1:45" ht="12.6" customHeight="1">
      <c r="A43" s="81" t="s">
        <v>17</v>
      </c>
      <c r="B43" s="175" t="s">
        <v>433</v>
      </c>
      <c r="C43" s="175" t="s">
        <v>430</v>
      </c>
      <c r="D43" s="63"/>
      <c r="E43" s="175" t="s">
        <v>429</v>
      </c>
      <c r="F43" s="175" t="s">
        <v>428</v>
      </c>
      <c r="G43" s="175" t="s">
        <v>531</v>
      </c>
      <c r="H43" s="175" t="s">
        <v>657</v>
      </c>
      <c r="I43" s="175" t="s">
        <v>1278</v>
      </c>
      <c r="J43" s="63"/>
      <c r="K43" s="175" t="s">
        <v>429</v>
      </c>
      <c r="L43" s="175" t="s">
        <v>581</v>
      </c>
      <c r="M43" s="175" t="s">
        <v>433</v>
      </c>
      <c r="N43" s="175" t="s">
        <v>1815</v>
      </c>
      <c r="O43" s="175" t="s">
        <v>1823</v>
      </c>
      <c r="P43" s="63"/>
      <c r="Q43" s="175" t="s">
        <v>436</v>
      </c>
      <c r="R43" s="175" t="s">
        <v>436</v>
      </c>
      <c r="S43" s="175" t="s">
        <v>429</v>
      </c>
      <c r="T43" s="175" t="s">
        <v>531</v>
      </c>
      <c r="U43" s="175" t="s">
        <v>624</v>
      </c>
      <c r="V43" s="63"/>
      <c r="W43" s="175" t="s">
        <v>430</v>
      </c>
      <c r="X43" s="175" t="s">
        <v>536</v>
      </c>
      <c r="Y43" s="175" t="s">
        <v>428</v>
      </c>
      <c r="Z43" s="175" t="s">
        <v>430</v>
      </c>
      <c r="AA43" s="175" t="s">
        <v>443</v>
      </c>
      <c r="AB43" s="63"/>
      <c r="AC43" s="175" t="s">
        <v>430</v>
      </c>
      <c r="AD43" s="175" t="s">
        <v>430</v>
      </c>
      <c r="AE43" s="175" t="s">
        <v>438</v>
      </c>
      <c r="AF43" s="175" t="s">
        <v>430</v>
      </c>
      <c r="AG43" s="175" t="s">
        <v>438</v>
      </c>
      <c r="AH43" s="63"/>
      <c r="AI43" s="175" t="s">
        <v>47</v>
      </c>
      <c r="AJ43" s="175" t="s">
        <v>443</v>
      </c>
      <c r="AK43" s="175" t="s">
        <v>438</v>
      </c>
      <c r="AL43" s="175" t="s">
        <v>430</v>
      </c>
      <c r="AM43" s="176" t="s">
        <v>308</v>
      </c>
      <c r="AN43" s="174"/>
      <c r="AO43" s="176" t="s">
        <v>161</v>
      </c>
      <c r="AP43" s="176" t="s">
        <v>164</v>
      </c>
      <c r="AQ43" s="176" t="s">
        <v>46</v>
      </c>
      <c r="AR43" s="176" t="s">
        <v>46</v>
      </c>
      <c r="AS43" s="176" t="s">
        <v>46</v>
      </c>
    </row>
    <row r="44" spans="1:45" ht="12.6" customHeight="1">
      <c r="A44" s="81" t="s">
        <v>19</v>
      </c>
      <c r="B44" s="175" t="s">
        <v>1174</v>
      </c>
      <c r="C44" s="175" t="s">
        <v>883</v>
      </c>
      <c r="D44" s="63"/>
      <c r="E44" s="175" t="s">
        <v>530</v>
      </c>
      <c r="F44" s="175" t="s">
        <v>442</v>
      </c>
      <c r="G44" s="175" t="s">
        <v>580</v>
      </c>
      <c r="H44" s="175" t="s">
        <v>657</v>
      </c>
      <c r="I44" s="175" t="s">
        <v>2101</v>
      </c>
      <c r="J44" s="63"/>
      <c r="K44" s="175" t="s">
        <v>529</v>
      </c>
      <c r="L44" s="175" t="s">
        <v>580</v>
      </c>
      <c r="M44" s="175" t="s">
        <v>1768</v>
      </c>
      <c r="N44" s="175" t="s">
        <v>438</v>
      </c>
      <c r="O44" s="175" t="s">
        <v>650</v>
      </c>
      <c r="P44" s="63"/>
      <c r="Q44" s="175" t="s">
        <v>429</v>
      </c>
      <c r="R44" s="175" t="s">
        <v>529</v>
      </c>
      <c r="S44" s="175" t="s">
        <v>1416</v>
      </c>
      <c r="T44" s="175" t="s">
        <v>1174</v>
      </c>
      <c r="U44" s="175" t="s">
        <v>1495</v>
      </c>
      <c r="V44" s="63"/>
      <c r="W44" s="175" t="s">
        <v>433</v>
      </c>
      <c r="X44" s="175" t="s">
        <v>1103</v>
      </c>
      <c r="Y44" s="175" t="s">
        <v>445</v>
      </c>
      <c r="Z44" s="175" t="s">
        <v>580</v>
      </c>
      <c r="AA44" s="175" t="s">
        <v>1301</v>
      </c>
      <c r="AB44" s="63"/>
      <c r="AC44" s="175" t="s">
        <v>582</v>
      </c>
      <c r="AD44" s="175" t="s">
        <v>433</v>
      </c>
      <c r="AE44" s="175" t="s">
        <v>876</v>
      </c>
      <c r="AF44" s="175" t="s">
        <v>914</v>
      </c>
      <c r="AG44" s="175" t="s">
        <v>935</v>
      </c>
      <c r="AH44" s="63"/>
      <c r="AI44" s="175" t="s">
        <v>67</v>
      </c>
      <c r="AJ44" s="175" t="s">
        <v>444</v>
      </c>
      <c r="AK44" s="175" t="s">
        <v>428</v>
      </c>
      <c r="AL44" s="175" t="s">
        <v>583</v>
      </c>
      <c r="AM44" s="176" t="s">
        <v>584</v>
      </c>
      <c r="AN44" s="174"/>
      <c r="AO44" s="176" t="s">
        <v>338</v>
      </c>
      <c r="AP44" s="176" t="s">
        <v>220</v>
      </c>
      <c r="AQ44" s="176" t="s">
        <v>175</v>
      </c>
      <c r="AR44" s="176" t="s">
        <v>109</v>
      </c>
      <c r="AS44" s="176" t="s">
        <v>134</v>
      </c>
    </row>
    <row r="45" spans="1:45" ht="12.6" customHeight="1">
      <c r="A45" s="81" t="s">
        <v>20</v>
      </c>
      <c r="B45" s="175" t="s">
        <v>886</v>
      </c>
      <c r="C45" s="175" t="s">
        <v>2266</v>
      </c>
      <c r="D45" s="63"/>
      <c r="E45" s="175" t="s">
        <v>1130</v>
      </c>
      <c r="F45" s="175" t="s">
        <v>1983</v>
      </c>
      <c r="G45" s="175" t="s">
        <v>933</v>
      </c>
      <c r="H45" s="175" t="s">
        <v>2096</v>
      </c>
      <c r="I45" s="175" t="s">
        <v>2102</v>
      </c>
      <c r="J45" s="63"/>
      <c r="K45" s="175" t="s">
        <v>536</v>
      </c>
      <c r="L45" s="175" t="s">
        <v>436</v>
      </c>
      <c r="M45" s="175" t="s">
        <v>1769</v>
      </c>
      <c r="N45" s="175" t="s">
        <v>1816</v>
      </c>
      <c r="O45" s="175" t="s">
        <v>1824</v>
      </c>
      <c r="P45" s="63"/>
      <c r="Q45" s="175" t="s">
        <v>1342</v>
      </c>
      <c r="R45" s="175" t="s">
        <v>1393</v>
      </c>
      <c r="S45" s="175" t="s">
        <v>440</v>
      </c>
      <c r="T45" s="175" t="s">
        <v>1490</v>
      </c>
      <c r="U45" s="175" t="s">
        <v>1496</v>
      </c>
      <c r="V45" s="63"/>
      <c r="W45" s="175" t="s">
        <v>445</v>
      </c>
      <c r="X45" s="175" t="s">
        <v>1104</v>
      </c>
      <c r="Y45" s="175" t="s">
        <v>582</v>
      </c>
      <c r="Z45" s="175" t="s">
        <v>1228</v>
      </c>
      <c r="AA45" s="175" t="s">
        <v>1302</v>
      </c>
      <c r="AB45" s="63"/>
      <c r="AC45" s="175" t="s">
        <v>445</v>
      </c>
      <c r="AD45" s="175" t="s">
        <v>801</v>
      </c>
      <c r="AE45" s="175" t="s">
        <v>877</v>
      </c>
      <c r="AF45" s="175" t="s">
        <v>915</v>
      </c>
      <c r="AG45" s="175" t="s">
        <v>936</v>
      </c>
      <c r="AH45" s="63"/>
      <c r="AI45" s="175" t="s">
        <v>391</v>
      </c>
      <c r="AJ45" s="175" t="s">
        <v>445</v>
      </c>
      <c r="AK45" s="175" t="s">
        <v>429</v>
      </c>
      <c r="AL45" s="175" t="s">
        <v>443</v>
      </c>
      <c r="AM45" s="176" t="s">
        <v>585</v>
      </c>
      <c r="AN45" s="174"/>
      <c r="AO45" s="176" t="s">
        <v>339</v>
      </c>
      <c r="AP45" s="176" t="s">
        <v>221</v>
      </c>
      <c r="AQ45" s="176" t="s">
        <v>81</v>
      </c>
      <c r="AR45" s="176" t="s">
        <v>57</v>
      </c>
      <c r="AS45" s="176" t="s">
        <v>51</v>
      </c>
    </row>
    <row r="46" spans="1:45" ht="12.6" customHeight="1">
      <c r="A46" s="81" t="s">
        <v>21</v>
      </c>
      <c r="B46" s="175" t="s">
        <v>2205</v>
      </c>
      <c r="C46" s="175" t="s">
        <v>824</v>
      </c>
      <c r="D46" s="63"/>
      <c r="E46" s="175" t="s">
        <v>531</v>
      </c>
      <c r="F46" s="175" t="s">
        <v>957</v>
      </c>
      <c r="G46" s="175" t="s">
        <v>2032</v>
      </c>
      <c r="H46" s="175" t="s">
        <v>445</v>
      </c>
      <c r="I46" s="175" t="s">
        <v>2103</v>
      </c>
      <c r="J46" s="63"/>
      <c r="K46" s="175" t="s">
        <v>536</v>
      </c>
      <c r="L46" s="175" t="s">
        <v>583</v>
      </c>
      <c r="M46" s="175" t="s">
        <v>1770</v>
      </c>
      <c r="N46" s="175" t="s">
        <v>1817</v>
      </c>
      <c r="O46" s="175" t="s">
        <v>1825</v>
      </c>
      <c r="P46" s="63"/>
      <c r="Q46" s="175" t="s">
        <v>462</v>
      </c>
      <c r="R46" s="175" t="s">
        <v>1263</v>
      </c>
      <c r="S46" s="175" t="s">
        <v>462</v>
      </c>
      <c r="T46" s="175" t="s">
        <v>580</v>
      </c>
      <c r="U46" s="175" t="s">
        <v>1497</v>
      </c>
      <c r="V46" s="63"/>
      <c r="W46" s="175" t="s">
        <v>536</v>
      </c>
      <c r="X46" s="175" t="s">
        <v>580</v>
      </c>
      <c r="Y46" s="175" t="s">
        <v>430</v>
      </c>
      <c r="Z46" s="175" t="s">
        <v>546</v>
      </c>
      <c r="AA46" s="175" t="s">
        <v>1303</v>
      </c>
      <c r="AB46" s="63"/>
      <c r="AC46" s="175" t="s">
        <v>438</v>
      </c>
      <c r="AD46" s="175" t="s">
        <v>802</v>
      </c>
      <c r="AE46" s="175" t="s">
        <v>428</v>
      </c>
      <c r="AF46" s="175" t="s">
        <v>916</v>
      </c>
      <c r="AG46" s="175" t="s">
        <v>937</v>
      </c>
      <c r="AH46" s="63"/>
      <c r="AI46" s="175" t="s">
        <v>65</v>
      </c>
      <c r="AJ46" s="175" t="s">
        <v>446</v>
      </c>
      <c r="AK46" s="175" t="s">
        <v>446</v>
      </c>
      <c r="AL46" s="175" t="s">
        <v>586</v>
      </c>
      <c r="AM46" s="176" t="s">
        <v>587</v>
      </c>
      <c r="AN46" s="174"/>
      <c r="AO46" s="176" t="s">
        <v>340</v>
      </c>
      <c r="AP46" s="176" t="s">
        <v>222</v>
      </c>
      <c r="AQ46" s="176" t="s">
        <v>97</v>
      </c>
      <c r="AR46" s="176" t="s">
        <v>110</v>
      </c>
      <c r="AS46" s="176" t="s">
        <v>85</v>
      </c>
    </row>
    <row r="47" spans="1:45" ht="12.6" customHeight="1">
      <c r="A47" s="177" t="s">
        <v>44</v>
      </c>
      <c r="B47" s="176" t="s">
        <v>2206</v>
      </c>
      <c r="C47" s="176" t="s">
        <v>2267</v>
      </c>
      <c r="D47" s="63"/>
      <c r="E47" s="176" t="s">
        <v>1927</v>
      </c>
      <c r="F47" s="176" t="s">
        <v>1984</v>
      </c>
      <c r="G47" s="176" t="s">
        <v>2033</v>
      </c>
      <c r="H47" s="176" t="s">
        <v>2097</v>
      </c>
      <c r="I47" s="176" t="s">
        <v>2104</v>
      </c>
      <c r="J47" s="63"/>
      <c r="K47" s="176" t="s">
        <v>1616</v>
      </c>
      <c r="L47" s="176" t="s">
        <v>1673</v>
      </c>
      <c r="M47" s="176" t="s">
        <v>1771</v>
      </c>
      <c r="N47" s="176" t="s">
        <v>1818</v>
      </c>
      <c r="O47" s="176" t="s">
        <v>1826</v>
      </c>
      <c r="P47" s="63"/>
      <c r="Q47" s="176" t="s">
        <v>1343</v>
      </c>
      <c r="R47" s="176" t="s">
        <v>1394</v>
      </c>
      <c r="S47" s="176" t="s">
        <v>1417</v>
      </c>
      <c r="T47" s="176" t="s">
        <v>1491</v>
      </c>
      <c r="U47" s="176" t="s">
        <v>1498</v>
      </c>
      <c r="V47" s="63"/>
      <c r="W47" s="176" t="s">
        <v>1060</v>
      </c>
      <c r="X47" s="176" t="s">
        <v>1105</v>
      </c>
      <c r="Y47" s="176" t="s">
        <v>1155</v>
      </c>
      <c r="Z47" s="176" t="s">
        <v>589</v>
      </c>
      <c r="AA47" s="176" t="s">
        <v>1268</v>
      </c>
      <c r="AB47" s="63"/>
      <c r="AC47" s="176" t="s">
        <v>588</v>
      </c>
      <c r="AD47" s="176" t="s">
        <v>803</v>
      </c>
      <c r="AE47" s="176" t="s">
        <v>878</v>
      </c>
      <c r="AF47" s="176" t="s">
        <v>917</v>
      </c>
      <c r="AG47" s="176" t="s">
        <v>938</v>
      </c>
      <c r="AH47" s="63"/>
      <c r="AI47" s="176" t="s">
        <v>198</v>
      </c>
      <c r="AJ47" s="176" t="s">
        <v>434</v>
      </c>
      <c r="AK47" s="176" t="s">
        <v>527</v>
      </c>
      <c r="AL47" s="176" t="s">
        <v>589</v>
      </c>
      <c r="AM47" s="176" t="s">
        <v>590</v>
      </c>
      <c r="AN47" s="174"/>
      <c r="AO47" s="176" t="s">
        <v>343</v>
      </c>
      <c r="AP47" s="176" t="s">
        <v>223</v>
      </c>
      <c r="AQ47" s="176" t="s">
        <v>176</v>
      </c>
      <c r="AR47" s="176" t="s">
        <v>111</v>
      </c>
      <c r="AS47" s="176" t="s">
        <v>135</v>
      </c>
    </row>
    <row r="48" spans="1:45" ht="12.6" customHeight="1">
      <c r="A48" s="99" t="s">
        <v>23</v>
      </c>
      <c r="B48" s="176" t="s">
        <v>2207</v>
      </c>
      <c r="C48" s="176" t="s">
        <v>2268</v>
      </c>
      <c r="D48" s="63"/>
      <c r="E48" s="176" t="s">
        <v>1928</v>
      </c>
      <c r="F48" s="176" t="s">
        <v>1985</v>
      </c>
      <c r="G48" s="176" t="s">
        <v>2034</v>
      </c>
      <c r="H48" s="176" t="s">
        <v>2098</v>
      </c>
      <c r="I48" s="176" t="s">
        <v>2105</v>
      </c>
      <c r="J48" s="63"/>
      <c r="K48" s="176" t="s">
        <v>1617</v>
      </c>
      <c r="L48" s="176" t="s">
        <v>1674</v>
      </c>
      <c r="M48" s="176" t="s">
        <v>1772</v>
      </c>
      <c r="N48" s="176" t="s">
        <v>1819</v>
      </c>
      <c r="O48" s="176" t="s">
        <v>1827</v>
      </c>
      <c r="P48" s="63"/>
      <c r="Q48" s="176" t="s">
        <v>1344</v>
      </c>
      <c r="R48" s="176" t="s">
        <v>1395</v>
      </c>
      <c r="S48" s="176" t="s">
        <v>1418</v>
      </c>
      <c r="T48" s="176" t="s">
        <v>1492</v>
      </c>
      <c r="U48" s="176" t="s">
        <v>1499</v>
      </c>
      <c r="V48" s="63"/>
      <c r="W48" s="176" t="s">
        <v>1061</v>
      </c>
      <c r="X48" s="176" t="s">
        <v>1106</v>
      </c>
      <c r="Y48" s="176" t="s">
        <v>1156</v>
      </c>
      <c r="Z48" s="176" t="s">
        <v>1229</v>
      </c>
      <c r="AA48" s="176" t="s">
        <v>1275</v>
      </c>
      <c r="AB48" s="63"/>
      <c r="AC48" s="176" t="s">
        <v>591</v>
      </c>
      <c r="AD48" s="176" t="s">
        <v>804</v>
      </c>
      <c r="AE48" s="176" t="s">
        <v>879</v>
      </c>
      <c r="AF48" s="176" t="s">
        <v>918</v>
      </c>
      <c r="AG48" s="176" t="s">
        <v>939</v>
      </c>
      <c r="AH48" s="63"/>
      <c r="AI48" s="176" t="s">
        <v>416</v>
      </c>
      <c r="AJ48" s="176" t="s">
        <v>441</v>
      </c>
      <c r="AK48" s="176" t="s">
        <v>528</v>
      </c>
      <c r="AL48" s="176" t="s">
        <v>592</v>
      </c>
      <c r="AM48" s="176" t="s">
        <v>593</v>
      </c>
      <c r="AN48" s="174"/>
      <c r="AO48" s="176" t="s">
        <v>346</v>
      </c>
      <c r="AP48" s="176" t="s">
        <v>224</v>
      </c>
      <c r="AQ48" s="176" t="s">
        <v>177</v>
      </c>
      <c r="AR48" s="176" t="s">
        <v>112</v>
      </c>
      <c r="AS48" s="176" t="s">
        <v>136</v>
      </c>
    </row>
    <row r="50" spans="1:45" ht="12.6" customHeight="1">
      <c r="A50" s="53" t="s">
        <v>1641</v>
      </c>
      <c r="AI50" s="8"/>
    </row>
    <row r="51" spans="1:45" ht="12.6" customHeight="1">
      <c r="G51" s="21"/>
      <c r="I51" s="21"/>
      <c r="O51" s="21"/>
      <c r="U51" s="21"/>
      <c r="AA51" s="21"/>
      <c r="AG51" s="21"/>
      <c r="AI51" s="8"/>
    </row>
    <row r="52" spans="1:45" ht="12.6" customHeight="1">
      <c r="A52" s="140"/>
      <c r="B52" s="80" t="s">
        <v>2184</v>
      </c>
      <c r="C52" s="80" t="s">
        <v>2233</v>
      </c>
      <c r="D52" s="63"/>
      <c r="E52" s="80" t="s">
        <v>1914</v>
      </c>
      <c r="F52" s="80" t="s">
        <v>1969</v>
      </c>
      <c r="G52" s="80" t="s">
        <v>2020</v>
      </c>
      <c r="H52" s="80" t="s">
        <v>2069</v>
      </c>
      <c r="I52" s="80" t="s">
        <v>54</v>
      </c>
      <c r="J52" s="63"/>
      <c r="K52" s="80" t="s">
        <v>1589</v>
      </c>
      <c r="L52" s="80" t="s">
        <v>1661</v>
      </c>
      <c r="M52" s="80" t="s">
        <v>1728</v>
      </c>
      <c r="N52" s="80" t="s">
        <v>1785</v>
      </c>
      <c r="O52" s="80" t="s">
        <v>54</v>
      </c>
      <c r="P52" s="63"/>
      <c r="Q52" s="80" t="s">
        <v>1310</v>
      </c>
      <c r="R52" s="80" t="s">
        <v>1366</v>
      </c>
      <c r="S52" s="80" t="s">
        <v>1404</v>
      </c>
      <c r="T52" s="80" t="s">
        <v>1467</v>
      </c>
      <c r="U52" s="80" t="s">
        <v>54</v>
      </c>
      <c r="V52" s="63"/>
      <c r="W52" s="80" t="s">
        <v>1048</v>
      </c>
      <c r="X52" s="80" t="s">
        <v>1094</v>
      </c>
      <c r="Y52" s="80" t="s">
        <v>1142</v>
      </c>
      <c r="Z52" s="80" t="s">
        <v>1194</v>
      </c>
      <c r="AA52" s="80" t="s">
        <v>54</v>
      </c>
      <c r="AB52" s="63"/>
      <c r="AC52" s="80" t="s">
        <v>565</v>
      </c>
      <c r="AD52" s="80" t="s">
        <v>788</v>
      </c>
      <c r="AE52" s="80" t="s">
        <v>845</v>
      </c>
      <c r="AF52" s="80" t="s">
        <v>900</v>
      </c>
      <c r="AG52" s="80" t="s">
        <v>54</v>
      </c>
      <c r="AH52" s="63"/>
      <c r="AI52" s="80" t="s">
        <v>404</v>
      </c>
      <c r="AJ52" s="80" t="s">
        <v>405</v>
      </c>
      <c r="AK52" s="80" t="s">
        <v>406</v>
      </c>
      <c r="AL52" s="80" t="s">
        <v>407</v>
      </c>
      <c r="AM52" s="173" t="s">
        <v>54</v>
      </c>
      <c r="AN52" s="174"/>
      <c r="AO52" s="116">
        <v>2018</v>
      </c>
      <c r="AP52" s="116">
        <v>2017</v>
      </c>
      <c r="AQ52" s="116">
        <v>2016</v>
      </c>
      <c r="AR52" s="116">
        <v>2015</v>
      </c>
      <c r="AS52" s="116">
        <v>2014</v>
      </c>
    </row>
    <row r="53" spans="1:45" ht="12.6" customHeight="1">
      <c r="A53" s="81" t="s">
        <v>12</v>
      </c>
      <c r="B53" s="175" t="s">
        <v>65</v>
      </c>
      <c r="C53" s="175" t="s">
        <v>47</v>
      </c>
      <c r="D53" s="63"/>
      <c r="E53" s="175" t="s">
        <v>65</v>
      </c>
      <c r="F53" s="175" t="s">
        <v>46</v>
      </c>
      <c r="G53" s="175" t="s">
        <v>69</v>
      </c>
      <c r="H53" s="175" t="s">
        <v>69</v>
      </c>
      <c r="I53" s="175" t="s">
        <v>132</v>
      </c>
      <c r="J53" s="63"/>
      <c r="K53" s="175" t="s">
        <v>46</v>
      </c>
      <c r="L53" s="175" t="s">
        <v>186</v>
      </c>
      <c r="M53" s="175" t="s">
        <v>51</v>
      </c>
      <c r="N53" s="175" t="s">
        <v>46</v>
      </c>
      <c r="O53" s="175" t="s">
        <v>478</v>
      </c>
      <c r="P53" s="63"/>
      <c r="Q53" s="175" t="s">
        <v>65</v>
      </c>
      <c r="R53" s="175" t="s">
        <v>46</v>
      </c>
      <c r="S53" s="175" t="s">
        <v>1419</v>
      </c>
      <c r="T53" s="175" t="s">
        <v>67</v>
      </c>
      <c r="U53" s="175" t="s">
        <v>518</v>
      </c>
      <c r="V53" s="63"/>
      <c r="W53" s="175" t="s">
        <v>47</v>
      </c>
      <c r="X53" s="175" t="s">
        <v>46</v>
      </c>
      <c r="Y53" s="175" t="s">
        <v>47</v>
      </c>
      <c r="Z53" s="175" t="s">
        <v>46</v>
      </c>
      <c r="AA53" s="175" t="s">
        <v>69</v>
      </c>
      <c r="AB53" s="63"/>
      <c r="AC53" s="175" t="s">
        <v>65</v>
      </c>
      <c r="AD53" s="175" t="s">
        <v>827</v>
      </c>
      <c r="AE53" s="175" t="s">
        <v>46</v>
      </c>
      <c r="AF53" s="175" t="s">
        <v>46</v>
      </c>
      <c r="AG53" s="175" t="s">
        <v>744</v>
      </c>
      <c r="AH53" s="63"/>
      <c r="AI53" s="175" t="s">
        <v>46</v>
      </c>
      <c r="AJ53" s="175" t="s">
        <v>515</v>
      </c>
      <c r="AK53" s="175" t="s">
        <v>51</v>
      </c>
      <c r="AL53" s="175" t="s">
        <v>47</v>
      </c>
      <c r="AM53" s="176" t="s">
        <v>521</v>
      </c>
      <c r="AN53" s="174"/>
      <c r="AO53" s="176" t="s">
        <v>426</v>
      </c>
      <c r="AP53" s="176" t="s">
        <v>200</v>
      </c>
      <c r="AQ53" s="176" t="s">
        <v>165</v>
      </c>
      <c r="AR53" s="176" t="s">
        <v>85</v>
      </c>
      <c r="AS53" s="176" t="s">
        <v>137</v>
      </c>
    </row>
    <row r="54" spans="1:45" ht="12.6" customHeight="1">
      <c r="A54" s="81" t="s">
        <v>13</v>
      </c>
      <c r="B54" s="175" t="s">
        <v>560</v>
      </c>
      <c r="C54" s="175" t="s">
        <v>132</v>
      </c>
      <c r="D54" s="63"/>
      <c r="E54" s="175" t="s">
        <v>82</v>
      </c>
      <c r="F54" s="175" t="s">
        <v>178</v>
      </c>
      <c r="G54" s="175" t="s">
        <v>51</v>
      </c>
      <c r="H54" s="175" t="s">
        <v>113</v>
      </c>
      <c r="I54" s="175" t="s">
        <v>2108</v>
      </c>
      <c r="J54" s="63"/>
      <c r="K54" s="175" t="s">
        <v>47</v>
      </c>
      <c r="L54" s="175" t="s">
        <v>1419</v>
      </c>
      <c r="M54" s="175" t="s">
        <v>113</v>
      </c>
      <c r="N54" s="175" t="s">
        <v>69</v>
      </c>
      <c r="O54" s="175" t="s">
        <v>359</v>
      </c>
      <c r="P54" s="63"/>
      <c r="Q54" s="175" t="s">
        <v>47</v>
      </c>
      <c r="R54" s="175" t="s">
        <v>78</v>
      </c>
      <c r="S54" s="175" t="s">
        <v>84</v>
      </c>
      <c r="T54" s="175" t="s">
        <v>46</v>
      </c>
      <c r="U54" s="175" t="s">
        <v>95</v>
      </c>
      <c r="V54" s="63"/>
      <c r="W54" s="175" t="s">
        <v>69</v>
      </c>
      <c r="X54" s="175" t="s">
        <v>46</v>
      </c>
      <c r="Y54" s="175" t="s">
        <v>80</v>
      </c>
      <c r="Z54" s="175" t="s">
        <v>46</v>
      </c>
      <c r="AA54" s="175" t="s">
        <v>82</v>
      </c>
      <c r="AB54" s="63"/>
      <c r="AC54" s="175" t="s">
        <v>744</v>
      </c>
      <c r="AD54" s="175" t="s">
        <v>83</v>
      </c>
      <c r="AE54" s="175" t="s">
        <v>51</v>
      </c>
      <c r="AF54" s="175" t="s">
        <v>612</v>
      </c>
      <c r="AG54" s="175" t="s">
        <v>925</v>
      </c>
      <c r="AH54" s="63"/>
      <c r="AI54" s="175" t="s">
        <v>52</v>
      </c>
      <c r="AJ54" s="175" t="s">
        <v>69</v>
      </c>
      <c r="AK54" s="175" t="s">
        <v>46</v>
      </c>
      <c r="AL54" s="175" t="s">
        <v>251</v>
      </c>
      <c r="AM54" s="176" t="s">
        <v>749</v>
      </c>
      <c r="AN54" s="174"/>
      <c r="AO54" s="176" t="s">
        <v>521</v>
      </c>
      <c r="AP54" s="176" t="s">
        <v>209</v>
      </c>
      <c r="AQ54" s="176" t="s">
        <v>166</v>
      </c>
      <c r="AR54" s="176" t="s">
        <v>114</v>
      </c>
      <c r="AS54" s="176" t="s">
        <v>138</v>
      </c>
    </row>
    <row r="55" spans="1:45" ht="12.6" customHeight="1">
      <c r="A55" s="81" t="s">
        <v>16</v>
      </c>
      <c r="B55" s="175" t="s">
        <v>95</v>
      </c>
      <c r="C55" s="175" t="s">
        <v>78</v>
      </c>
      <c r="D55" s="63"/>
      <c r="E55" s="175" t="s">
        <v>264</v>
      </c>
      <c r="F55" s="175" t="s">
        <v>65</v>
      </c>
      <c r="G55" s="175" t="s">
        <v>2035</v>
      </c>
      <c r="H55" s="175" t="s">
        <v>132</v>
      </c>
      <c r="I55" s="175" t="s">
        <v>1755</v>
      </c>
      <c r="J55" s="63"/>
      <c r="K55" s="175" t="s">
        <v>1620</v>
      </c>
      <c r="L55" s="175" t="s">
        <v>196</v>
      </c>
      <c r="M55" s="175" t="s">
        <v>409</v>
      </c>
      <c r="N55" s="175" t="s">
        <v>65</v>
      </c>
      <c r="O55" s="175" t="s">
        <v>1832</v>
      </c>
      <c r="P55" s="63"/>
      <c r="Q55" s="175" t="s">
        <v>165</v>
      </c>
      <c r="R55" s="175" t="s">
        <v>67</v>
      </c>
      <c r="S55" s="175" t="s">
        <v>83</v>
      </c>
      <c r="T55" s="175" t="s">
        <v>63</v>
      </c>
      <c r="U55" s="175" t="s">
        <v>1541</v>
      </c>
      <c r="V55" s="63"/>
      <c r="W55" s="175" t="s">
        <v>1092</v>
      </c>
      <c r="X55" s="175" t="s">
        <v>65</v>
      </c>
      <c r="Y55" s="175" t="s">
        <v>80</v>
      </c>
      <c r="Z55" s="175" t="s">
        <v>1238</v>
      </c>
      <c r="AA55" s="175" t="s">
        <v>1304</v>
      </c>
      <c r="AB55" s="63"/>
      <c r="AC55" s="175" t="s">
        <v>77</v>
      </c>
      <c r="AD55" s="175" t="s">
        <v>828</v>
      </c>
      <c r="AE55" s="175" t="s">
        <v>641</v>
      </c>
      <c r="AF55" s="175" t="s">
        <v>909</v>
      </c>
      <c r="AG55" s="175" t="s">
        <v>926</v>
      </c>
      <c r="AH55" s="63"/>
      <c r="AI55" s="175" t="s">
        <v>80</v>
      </c>
      <c r="AJ55" s="175" t="s">
        <v>83</v>
      </c>
      <c r="AK55" s="175" t="s">
        <v>83</v>
      </c>
      <c r="AL55" s="175" t="s">
        <v>47</v>
      </c>
      <c r="AM55" s="176" t="s">
        <v>750</v>
      </c>
      <c r="AN55" s="174"/>
      <c r="AO55" s="176" t="s">
        <v>522</v>
      </c>
      <c r="AP55" s="176" t="s">
        <v>210</v>
      </c>
      <c r="AQ55" s="176" t="s">
        <v>167</v>
      </c>
      <c r="AR55" s="176" t="s">
        <v>115</v>
      </c>
      <c r="AS55" s="176" t="s">
        <v>139</v>
      </c>
    </row>
    <row r="56" spans="1:45" ht="12.6" customHeight="1">
      <c r="A56" s="81" t="s">
        <v>17</v>
      </c>
      <c r="B56" s="175" t="s">
        <v>67</v>
      </c>
      <c r="C56" s="175" t="s">
        <v>641</v>
      </c>
      <c r="D56" s="63"/>
      <c r="E56" s="175" t="s">
        <v>78</v>
      </c>
      <c r="F56" s="175" t="s">
        <v>260</v>
      </c>
      <c r="G56" s="175" t="s">
        <v>65</v>
      </c>
      <c r="H56" s="175" t="s">
        <v>704</v>
      </c>
      <c r="I56" s="175" t="s">
        <v>2110</v>
      </c>
      <c r="J56" s="63"/>
      <c r="K56" s="175" t="s">
        <v>51</v>
      </c>
      <c r="L56" s="175" t="s">
        <v>65</v>
      </c>
      <c r="M56" s="175" t="s">
        <v>69</v>
      </c>
      <c r="N56" s="175" t="s">
        <v>1828</v>
      </c>
      <c r="O56" s="175" t="s">
        <v>1833</v>
      </c>
      <c r="P56" s="63"/>
      <c r="Q56" s="175" t="s">
        <v>69</v>
      </c>
      <c r="R56" s="175" t="s">
        <v>47</v>
      </c>
      <c r="S56" s="175" t="s">
        <v>1420</v>
      </c>
      <c r="T56" s="175" t="s">
        <v>46</v>
      </c>
      <c r="U56" s="175" t="s">
        <v>165</v>
      </c>
      <c r="V56" s="63"/>
      <c r="W56" s="175" t="s">
        <v>46</v>
      </c>
      <c r="X56" s="175" t="s">
        <v>65</v>
      </c>
      <c r="Y56" s="175" t="s">
        <v>1162</v>
      </c>
      <c r="Z56" s="175" t="s">
        <v>1239</v>
      </c>
      <c r="AA56" s="175" t="s">
        <v>1305</v>
      </c>
      <c r="AB56" s="63"/>
      <c r="AC56" s="175" t="s">
        <v>243</v>
      </c>
      <c r="AD56" s="175" t="s">
        <v>249</v>
      </c>
      <c r="AE56" s="175" t="s">
        <v>52</v>
      </c>
      <c r="AF56" s="175" t="s">
        <v>919</v>
      </c>
      <c r="AG56" s="175" t="s">
        <v>927</v>
      </c>
      <c r="AH56" s="63"/>
      <c r="AI56" s="175" t="s">
        <v>516</v>
      </c>
      <c r="AJ56" s="175" t="s">
        <v>65</v>
      </c>
      <c r="AK56" s="175" t="s">
        <v>63</v>
      </c>
      <c r="AL56" s="175" t="s">
        <v>108</v>
      </c>
      <c r="AM56" s="176" t="s">
        <v>751</v>
      </c>
      <c r="AN56" s="174"/>
      <c r="AO56" s="176" t="s">
        <v>523</v>
      </c>
      <c r="AP56" s="176" t="s">
        <v>211</v>
      </c>
      <c r="AQ56" s="176" t="s">
        <v>168</v>
      </c>
      <c r="AR56" s="176" t="s">
        <v>98</v>
      </c>
      <c r="AS56" s="176" t="s">
        <v>140</v>
      </c>
    </row>
    <row r="57" spans="1:45" ht="12.6" customHeight="1">
      <c r="A57" s="81" t="s">
        <v>19</v>
      </c>
      <c r="B57" s="175" t="s">
        <v>2222</v>
      </c>
      <c r="C57" s="175" t="s">
        <v>260</v>
      </c>
      <c r="D57" s="63"/>
      <c r="E57" s="175" t="s">
        <v>1166</v>
      </c>
      <c r="F57" s="175" t="s">
        <v>196</v>
      </c>
      <c r="G57" s="175" t="s">
        <v>113</v>
      </c>
      <c r="H57" s="175" t="s">
        <v>613</v>
      </c>
      <c r="I57" s="175" t="s">
        <v>2060</v>
      </c>
      <c r="J57" s="63"/>
      <c r="K57" s="175" t="s">
        <v>1084</v>
      </c>
      <c r="L57" s="175" t="s">
        <v>1707</v>
      </c>
      <c r="M57" s="175" t="s">
        <v>492</v>
      </c>
      <c r="N57" s="175" t="s">
        <v>1702</v>
      </c>
      <c r="O57" s="175" t="s">
        <v>422</v>
      </c>
      <c r="P57" s="63"/>
      <c r="Q57" s="175" t="s">
        <v>251</v>
      </c>
      <c r="R57" s="175" t="s">
        <v>218</v>
      </c>
      <c r="S57" s="175" t="s">
        <v>131</v>
      </c>
      <c r="T57" s="175" t="s">
        <v>1525</v>
      </c>
      <c r="U57" s="175" t="s">
        <v>1542</v>
      </c>
      <c r="V57" s="63"/>
      <c r="W57" s="175" t="s">
        <v>69</v>
      </c>
      <c r="X57" s="175" t="s">
        <v>291</v>
      </c>
      <c r="Y57" s="175" t="s">
        <v>1163</v>
      </c>
      <c r="Z57" s="175" t="s">
        <v>340</v>
      </c>
      <c r="AA57" s="175" t="s">
        <v>1306</v>
      </c>
      <c r="AB57" s="63"/>
      <c r="AC57" s="175" t="s">
        <v>217</v>
      </c>
      <c r="AD57" s="175" t="s">
        <v>829</v>
      </c>
      <c r="AE57" s="175" t="s">
        <v>889</v>
      </c>
      <c r="AF57" s="175" t="s">
        <v>920</v>
      </c>
      <c r="AG57" s="175" t="s">
        <v>928</v>
      </c>
      <c r="AH57" s="63"/>
      <c r="AI57" s="175" t="s">
        <v>517</v>
      </c>
      <c r="AJ57" s="175" t="s">
        <v>518</v>
      </c>
      <c r="AK57" s="175" t="s">
        <v>307</v>
      </c>
      <c r="AL57" s="175" t="s">
        <v>746</v>
      </c>
      <c r="AM57" s="176" t="s">
        <v>752</v>
      </c>
      <c r="AN57" s="174"/>
      <c r="AO57" s="176" t="s">
        <v>524</v>
      </c>
      <c r="AP57" s="176" t="s">
        <v>212</v>
      </c>
      <c r="AQ57" s="176" t="s">
        <v>169</v>
      </c>
      <c r="AR57" s="176" t="s">
        <v>116</v>
      </c>
      <c r="AS57" s="176" t="s">
        <v>141</v>
      </c>
    </row>
    <row r="58" spans="1:45" ht="12.6" customHeight="1">
      <c r="A58" s="81" t="s">
        <v>20</v>
      </c>
      <c r="B58" s="175" t="s">
        <v>2218</v>
      </c>
      <c r="C58" s="175" t="s">
        <v>2258</v>
      </c>
      <c r="D58" s="63"/>
      <c r="E58" s="175" t="s">
        <v>1929</v>
      </c>
      <c r="F58" s="175" t="s">
        <v>1332</v>
      </c>
      <c r="G58" s="175" t="s">
        <v>1962</v>
      </c>
      <c r="H58" s="175" t="s">
        <v>251</v>
      </c>
      <c r="I58" s="175" t="s">
        <v>2111</v>
      </c>
      <c r="J58" s="63"/>
      <c r="K58" s="175" t="s">
        <v>1621</v>
      </c>
      <c r="L58" s="175" t="s">
        <v>335</v>
      </c>
      <c r="M58" s="175" t="s">
        <v>1755</v>
      </c>
      <c r="N58" s="175" t="s">
        <v>78</v>
      </c>
      <c r="O58" s="175" t="s">
        <v>1834</v>
      </c>
      <c r="P58" s="63"/>
      <c r="Q58" s="175" t="s">
        <v>1350</v>
      </c>
      <c r="R58" s="175" t="s">
        <v>1421</v>
      </c>
      <c r="S58" s="175" t="s">
        <v>1422</v>
      </c>
      <c r="T58" s="175" t="s">
        <v>1526</v>
      </c>
      <c r="U58" s="175" t="s">
        <v>1543</v>
      </c>
      <c r="V58" s="63"/>
      <c r="W58" s="175" t="s">
        <v>67</v>
      </c>
      <c r="X58" s="175" t="s">
        <v>1107</v>
      </c>
      <c r="Y58" s="175" t="s">
        <v>1164</v>
      </c>
      <c r="Z58" s="175" t="s">
        <v>1240</v>
      </c>
      <c r="AA58" s="175" t="s">
        <v>1307</v>
      </c>
      <c r="AB58" s="63"/>
      <c r="AC58" s="175" t="s">
        <v>745</v>
      </c>
      <c r="AD58" s="175" t="s">
        <v>830</v>
      </c>
      <c r="AE58" s="175" t="s">
        <v>839</v>
      </c>
      <c r="AF58" s="175" t="s">
        <v>921</v>
      </c>
      <c r="AG58" s="175" t="s">
        <v>929</v>
      </c>
      <c r="AH58" s="63"/>
      <c r="AI58" s="175" t="s">
        <v>519</v>
      </c>
      <c r="AJ58" s="175" t="s">
        <v>520</v>
      </c>
      <c r="AK58" s="175" t="s">
        <v>298</v>
      </c>
      <c r="AL58" s="175" t="s">
        <v>747</v>
      </c>
      <c r="AM58" s="176" t="s">
        <v>753</v>
      </c>
      <c r="AN58" s="174"/>
      <c r="AO58" s="176" t="s">
        <v>525</v>
      </c>
      <c r="AP58" s="176" t="s">
        <v>213</v>
      </c>
      <c r="AQ58" s="176" t="s">
        <v>170</v>
      </c>
      <c r="AR58" s="176" t="s">
        <v>117</v>
      </c>
      <c r="AS58" s="176" t="s">
        <v>142</v>
      </c>
    </row>
    <row r="59" spans="1:45" ht="12.6" customHeight="1">
      <c r="A59" s="81" t="s">
        <v>21</v>
      </c>
      <c r="B59" s="175" t="s">
        <v>2219</v>
      </c>
      <c r="C59" s="175" t="s">
        <v>2259</v>
      </c>
      <c r="D59" s="63"/>
      <c r="E59" s="175" t="s">
        <v>95</v>
      </c>
      <c r="F59" s="175" t="s">
        <v>1986</v>
      </c>
      <c r="G59" s="175" t="s">
        <v>2036</v>
      </c>
      <c r="H59" s="175" t="s">
        <v>1862</v>
      </c>
      <c r="I59" s="175" t="s">
        <v>2109</v>
      </c>
      <c r="J59" s="63"/>
      <c r="K59" s="175" t="s">
        <v>67</v>
      </c>
      <c r="L59" s="175" t="s">
        <v>1356</v>
      </c>
      <c r="M59" s="175" t="s">
        <v>198</v>
      </c>
      <c r="N59" s="175" t="s">
        <v>1829</v>
      </c>
      <c r="O59" s="175" t="s">
        <v>1835</v>
      </c>
      <c r="P59" s="63"/>
      <c r="Q59" s="175" t="s">
        <v>1351</v>
      </c>
      <c r="R59" s="175" t="s">
        <v>86</v>
      </c>
      <c r="S59" s="175" t="s">
        <v>584</v>
      </c>
      <c r="T59" s="175" t="s">
        <v>217</v>
      </c>
      <c r="U59" s="175" t="s">
        <v>1544</v>
      </c>
      <c r="V59" s="63"/>
      <c r="W59" s="175" t="s">
        <v>86</v>
      </c>
      <c r="X59" s="175" t="s">
        <v>1108</v>
      </c>
      <c r="Y59" s="175" t="s">
        <v>173</v>
      </c>
      <c r="Z59" s="175" t="s">
        <v>357</v>
      </c>
      <c r="AA59" s="175" t="s">
        <v>1308</v>
      </c>
      <c r="AB59" s="63"/>
      <c r="AC59" s="175" t="s">
        <v>51</v>
      </c>
      <c r="AD59" s="175" t="s">
        <v>831</v>
      </c>
      <c r="AE59" s="175" t="s">
        <v>890</v>
      </c>
      <c r="AF59" s="175" t="s">
        <v>108</v>
      </c>
      <c r="AG59" s="175" t="s">
        <v>930</v>
      </c>
      <c r="AH59" s="63"/>
      <c r="AI59" s="175" t="s">
        <v>46</v>
      </c>
      <c r="AJ59" s="175" t="s">
        <v>132</v>
      </c>
      <c r="AK59" s="175" t="s">
        <v>748</v>
      </c>
      <c r="AL59" s="175" t="s">
        <v>65</v>
      </c>
      <c r="AM59" s="176" t="s">
        <v>754</v>
      </c>
      <c r="AN59" s="174"/>
      <c r="AO59" s="176" t="s">
        <v>51</v>
      </c>
      <c r="AP59" s="176" t="s">
        <v>78</v>
      </c>
      <c r="AQ59" s="176" t="s">
        <v>62</v>
      </c>
      <c r="AR59" s="176" t="s">
        <v>46</v>
      </c>
      <c r="AS59" s="176" t="s">
        <v>62</v>
      </c>
    </row>
    <row r="60" spans="1:45" ht="12.6" customHeight="1">
      <c r="A60" s="177" t="s">
        <v>44</v>
      </c>
      <c r="B60" s="176" t="s">
        <v>2220</v>
      </c>
      <c r="C60" s="176" t="s">
        <v>2260</v>
      </c>
      <c r="D60" s="63"/>
      <c r="E60" s="176" t="s">
        <v>1930</v>
      </c>
      <c r="F60" s="176" t="s">
        <v>1987</v>
      </c>
      <c r="G60" s="176" t="s">
        <v>2037</v>
      </c>
      <c r="H60" s="176" t="s">
        <v>2106</v>
      </c>
      <c r="I60" s="176" t="s">
        <v>2112</v>
      </c>
      <c r="J60" s="63"/>
      <c r="K60" s="176" t="s">
        <v>1622</v>
      </c>
      <c r="L60" s="176" t="s">
        <v>1700</v>
      </c>
      <c r="M60" s="176" t="s">
        <v>1756</v>
      </c>
      <c r="N60" s="176" t="s">
        <v>1830</v>
      </c>
      <c r="O60" s="176" t="s">
        <v>1836</v>
      </c>
      <c r="P60" s="63"/>
      <c r="Q60" s="176" t="s">
        <v>1352</v>
      </c>
      <c r="R60" s="176" t="s">
        <v>870</v>
      </c>
      <c r="S60" s="176" t="s">
        <v>1423</v>
      </c>
      <c r="T60" s="176" t="s">
        <v>1519</v>
      </c>
      <c r="U60" s="176" t="s">
        <v>1540</v>
      </c>
      <c r="V60" s="63"/>
      <c r="W60" s="176" t="s">
        <v>1084</v>
      </c>
      <c r="X60" s="176" t="s">
        <v>1109</v>
      </c>
      <c r="Y60" s="176" t="s">
        <v>1161</v>
      </c>
      <c r="Z60" s="176" t="s">
        <v>1241</v>
      </c>
      <c r="AA60" s="176" t="s">
        <v>1284</v>
      </c>
      <c r="AB60" s="63"/>
      <c r="AC60" s="176" t="s">
        <v>707</v>
      </c>
      <c r="AD60" s="176" t="s">
        <v>832</v>
      </c>
      <c r="AE60" s="176" t="s">
        <v>891</v>
      </c>
      <c r="AF60" s="176" t="s">
        <v>922</v>
      </c>
      <c r="AG60" s="176" t="s">
        <v>931</v>
      </c>
      <c r="AH60" s="63"/>
      <c r="AI60" s="176" t="s">
        <v>476</v>
      </c>
      <c r="AJ60" s="176" t="s">
        <v>477</v>
      </c>
      <c r="AK60" s="176" t="s">
        <v>711</v>
      </c>
      <c r="AL60" s="176" t="s">
        <v>712</v>
      </c>
      <c r="AM60" s="176" t="s">
        <v>755</v>
      </c>
      <c r="AN60" s="174"/>
      <c r="AO60" s="176" t="s">
        <v>506</v>
      </c>
      <c r="AP60" s="176" t="s">
        <v>214</v>
      </c>
      <c r="AQ60" s="176" t="s">
        <v>171</v>
      </c>
      <c r="AR60" s="176" t="s">
        <v>118</v>
      </c>
      <c r="AS60" s="176" t="s">
        <v>144</v>
      </c>
    </row>
    <row r="61" spans="1:45" ht="12.6" customHeight="1">
      <c r="A61" s="99" t="s">
        <v>23</v>
      </c>
      <c r="B61" s="176" t="s">
        <v>2221</v>
      </c>
      <c r="C61" s="176" t="s">
        <v>2261</v>
      </c>
      <c r="D61" s="63"/>
      <c r="E61" s="176" t="s">
        <v>1931</v>
      </c>
      <c r="F61" s="176" t="s">
        <v>1988</v>
      </c>
      <c r="G61" s="176" t="s">
        <v>2038</v>
      </c>
      <c r="H61" s="176" t="s">
        <v>2107</v>
      </c>
      <c r="I61" s="176" t="s">
        <v>2113</v>
      </c>
      <c r="J61" s="63"/>
      <c r="K61" s="176" t="s">
        <v>1623</v>
      </c>
      <c r="L61" s="176" t="s">
        <v>1706</v>
      </c>
      <c r="M61" s="176" t="s">
        <v>1757</v>
      </c>
      <c r="N61" s="176" t="s">
        <v>1831</v>
      </c>
      <c r="O61" s="176" t="s">
        <v>1837</v>
      </c>
      <c r="P61" s="63"/>
      <c r="Q61" s="176" t="s">
        <v>1353</v>
      </c>
      <c r="R61" s="176" t="s">
        <v>1424</v>
      </c>
      <c r="S61" s="176" t="s">
        <v>1425</v>
      </c>
      <c r="T61" s="176" t="s">
        <v>1524</v>
      </c>
      <c r="U61" s="176" t="s">
        <v>1534</v>
      </c>
      <c r="V61" s="63"/>
      <c r="W61" s="176" t="s">
        <v>1091</v>
      </c>
      <c r="X61" s="176" t="s">
        <v>1110</v>
      </c>
      <c r="Y61" s="176" t="s">
        <v>1165</v>
      </c>
      <c r="Z61" s="176" t="s">
        <v>1242</v>
      </c>
      <c r="AA61" s="176" t="s">
        <v>1292</v>
      </c>
      <c r="AB61" s="63"/>
      <c r="AC61" s="176" t="s">
        <v>719</v>
      </c>
      <c r="AD61" s="176" t="s">
        <v>833</v>
      </c>
      <c r="AE61" s="176" t="s">
        <v>892</v>
      </c>
      <c r="AF61" s="176" t="s">
        <v>923</v>
      </c>
      <c r="AG61" s="176" t="s">
        <v>932</v>
      </c>
      <c r="AH61" s="63"/>
      <c r="AI61" s="178" t="s">
        <v>488</v>
      </c>
      <c r="AJ61" s="178" t="s">
        <v>489</v>
      </c>
      <c r="AK61" s="176" t="s">
        <v>728</v>
      </c>
      <c r="AL61" s="176" t="s">
        <v>729</v>
      </c>
      <c r="AM61" s="178" t="s">
        <v>743</v>
      </c>
      <c r="AN61" s="174"/>
      <c r="AO61" s="178" t="s">
        <v>514</v>
      </c>
      <c r="AP61" s="176" t="s">
        <v>215</v>
      </c>
      <c r="AQ61" s="176" t="s">
        <v>172</v>
      </c>
      <c r="AR61" s="176" t="s">
        <v>119</v>
      </c>
      <c r="AS61" s="176" t="s">
        <v>145</v>
      </c>
    </row>
    <row r="63" spans="1:45" ht="12.6" customHeight="1">
      <c r="A63" s="156" t="s">
        <v>2280</v>
      </c>
    </row>
  </sheetData>
  <phoneticPr fontId="0" type="noConversion"/>
  <pageMargins left="0.75" right="0.75" top="1" bottom="1" header="0.5" footer="0.5"/>
  <pageSetup scale="70" orientation="landscape" horizontalDpi="1200" verticalDpi="1200" r:id="rId1"/>
  <headerFooter alignWithMargins="0"/>
  <ignoredErrors>
    <ignoredError sqref="AH16:AM16 AD57:AD59 AD55 AC16:AD16 AE16:AF16 AC32 AD32:AF34 AE59 W32 AO16 AS15 AR28:AR29 AS30 AR46 AR56 E32:F32" twoDigitTextYear="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690144B27EA1243851A0EEACEC494FA" ma:contentTypeVersion="16" ma:contentTypeDescription="Create a new document." ma:contentTypeScope="" ma:versionID="e5c1d49f18d58a32b67df61d204c3b35">
  <xsd:schema xmlns:xsd="http://www.w3.org/2001/XMLSchema" xmlns:xs="http://www.w3.org/2001/XMLSchema" xmlns:p="http://schemas.microsoft.com/office/2006/metadata/properties" xmlns:ns2="e4c2732a-b3b7-4e72-97d0-69a650919f51" xmlns:ns3="d1b8dd77-ed2a-4c1e-b97c-212b9deaab20" targetNamespace="http://schemas.microsoft.com/office/2006/metadata/properties" ma:root="true" ma:fieldsID="f7c8e7c876acd80c349e50842c427a84" ns2:_="" ns3:_="">
    <xsd:import namespace="e4c2732a-b3b7-4e72-97d0-69a650919f51"/>
    <xsd:import namespace="d1b8dd77-ed2a-4c1e-b97c-212b9deaab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c2732a-b3b7-4e72-97d0-69a650919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1bac71f-1506-44ff-98a5-aaeca32ace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b8dd77-ed2a-4c1e-b97c-212b9deaab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fa3b097-39aa-4653-a03e-b37ae6d2ddd2}" ma:internalName="TaxCatchAll" ma:showField="CatchAllData" ma:web="d1b8dd77-ed2a-4c1e-b97c-212b9deaa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4c2732a-b3b7-4e72-97d0-69a650919f51">
      <Terms xmlns="http://schemas.microsoft.com/office/infopath/2007/PartnerControls"/>
    </lcf76f155ced4ddcb4097134ff3c332f>
    <TaxCatchAll xmlns="d1b8dd77-ed2a-4c1e-b97c-212b9deaab20" xsi:nil="true"/>
  </documentManagement>
</p:properties>
</file>

<file path=customXml/itemProps1.xml><?xml version="1.0" encoding="utf-8"?>
<ds:datastoreItem xmlns:ds="http://schemas.openxmlformats.org/officeDocument/2006/customXml" ds:itemID="{A6AD4592-34A4-4E57-9760-98800BB309C5}">
  <ds:schemaRefs>
    <ds:schemaRef ds:uri="http://schemas.microsoft.com/sharepoint/v3/contenttype/forms"/>
  </ds:schemaRefs>
</ds:datastoreItem>
</file>

<file path=customXml/itemProps2.xml><?xml version="1.0" encoding="utf-8"?>
<ds:datastoreItem xmlns:ds="http://schemas.openxmlformats.org/officeDocument/2006/customXml" ds:itemID="{67F3A05E-25FC-4FAF-8BDD-BD0E105C8E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c2732a-b3b7-4e72-97d0-69a650919f51"/>
    <ds:schemaRef ds:uri="d1b8dd77-ed2a-4c1e-b97c-212b9deaab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C607A1-49FE-4040-854A-2455AC5BF743}">
  <ds:schemaRefs>
    <ds:schemaRef ds:uri="http://purl.org/dc/elements/1.1/"/>
    <ds:schemaRef ds:uri="e4c2732a-b3b7-4e72-97d0-69a650919f51"/>
    <ds:schemaRef ds:uri="http://schemas.microsoft.com/office/2006/documentManagement/types"/>
    <ds:schemaRef ds:uri="http://schemas.openxmlformats.org/package/2006/metadata/core-properties"/>
    <ds:schemaRef ds:uri="http://purl.org/dc/dcmitype/"/>
    <ds:schemaRef ds:uri="http://purl.org/dc/terms/"/>
    <ds:schemaRef ds:uri="http://schemas.microsoft.com/office/infopath/2007/PartnerControls"/>
    <ds:schemaRef ds:uri="d1b8dd77-ed2a-4c1e-b97c-212b9deaab2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Table of Contents</vt:lpstr>
      <vt:lpstr>1</vt:lpstr>
      <vt:lpstr>2</vt:lpstr>
      <vt:lpstr>3</vt:lpstr>
      <vt:lpstr>4</vt:lpstr>
      <vt:lpstr>5</vt:lpstr>
      <vt:lpstr>6</vt:lpstr>
      <vt:lpstr>7</vt:lpstr>
      <vt:lpstr>8</vt:lpstr>
      <vt:lpstr>9</vt:lpstr>
      <vt:lpstr>10</vt:lpstr>
      <vt:lpstr>11</vt:lpstr>
      <vt:lpstr>12</vt:lpstr>
      <vt:lpstr>13</vt:lpstr>
      <vt:lpstr>'1'!Print_Area</vt:lpstr>
      <vt:lpstr>'10'!Print_Area</vt:lpstr>
      <vt:lpstr>'11'!Print_Area</vt:lpstr>
      <vt:lpstr>'12'!Print_Area</vt:lpstr>
      <vt:lpstr>'2'!Print_Area</vt:lpstr>
      <vt:lpstr>'3'!Print_Area</vt:lpstr>
      <vt:lpstr>'4'!Print_Area</vt:lpstr>
      <vt:lpstr>'5'!Print_Area</vt:lpstr>
      <vt:lpstr>'6'!Print_Area</vt:lpstr>
      <vt:lpstr>'7'!Print_Area</vt:lpstr>
      <vt:lpstr>'8'!Print_Area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2016-01-15T13:54:16Z</dcterms:created>
  <dcterms:modified xsi:type="dcterms:W3CDTF">2025-09-26T14:43:45Z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0x010100F690144B27EA1243851A0EEACEC494FA</vt:lpwstr>
  </property>
  <property fmtid="{D5CDD505-2E9C-101B-9397-08002B2CF9AE}" pid="3" name="Order">
    <vt:r8>1450400</vt:r8>
  </property>
  <property fmtid="{D5CDD505-2E9C-101B-9397-08002B2CF9AE}" pid="4" name="MediaServiceImageTags">
    <vt:lpwstr/>
  </property>
</Properties>
</file>